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B45D" lockStructure="1"/>
  <bookViews>
    <workbookView xWindow="0" yWindow="60" windowWidth="20115" windowHeight="11070" tabRatio="824"/>
  </bookViews>
  <sheets>
    <sheet name="Summary Sheet" sheetId="15" r:id="rId1"/>
    <sheet name="Manual Input" sheetId="20" r:id="rId2"/>
    <sheet name="Error Checking" sheetId="21" state="hidden" r:id="rId3"/>
    <sheet name="2018 Calculator" sheetId="17" state="hidden" r:id="rId4"/>
    <sheet name="2014 Calculator" sheetId="16" state="hidden" r:id="rId5"/>
    <sheet name="2010 Calculator" sheetId="13" state="hidden" r:id="rId6"/>
    <sheet name="Allocation of CDIs" sheetId="11" state="hidden" r:id="rId7"/>
    <sheet name="Defined Values" sheetId="5" state="hidden" r:id="rId8"/>
    <sheet name="NTA" sheetId="4" state="hidden" r:id="rId9"/>
    <sheet name="TDD" sheetId="12" state="hidden" r:id="rId10"/>
  </sheets>
  <definedNames>
    <definedName name="_xlnm.Print_Area" localSheetId="1">'Manual Input'!$A$1:$K$29</definedName>
    <definedName name="_xlnm.Print_Area" localSheetId="0">'Summary Sheet'!$B$1:$M$38</definedName>
    <definedName name="solver_adj" localSheetId="3" hidden="1">'2018 Calculator'!$B$23</definedName>
    <definedName name="solver_adj" localSheetId="0" hidden="1">'Summary Sheet'!$C$3:$L$5</definedName>
    <definedName name="solver_cvg" localSheetId="3" hidden="1">0.0001</definedName>
    <definedName name="solver_cvg" localSheetId="0" hidden="1">0.0001</definedName>
    <definedName name="solver_drv" localSheetId="3" hidden="1">1</definedName>
    <definedName name="solver_drv" localSheetId="0" hidden="1">1</definedName>
    <definedName name="solver_eng" localSheetId="3" hidden="1">1</definedName>
    <definedName name="solver_eng" localSheetId="0" hidden="1">3</definedName>
    <definedName name="solver_est" localSheetId="3" hidden="1">1</definedName>
    <definedName name="solver_est" localSheetId="0" hidden="1">1</definedName>
    <definedName name="solver_itr" localSheetId="3" hidden="1">2147483647</definedName>
    <definedName name="solver_itr" localSheetId="0" hidden="1">2147483647</definedName>
    <definedName name="solver_lhs1" localSheetId="0" hidden="1">'Summary Sheet'!$C$3:$L$3</definedName>
    <definedName name="solver_lhs10" localSheetId="0" hidden="1">'Summary Sheet'!$M$4</definedName>
    <definedName name="solver_lhs2" localSheetId="0" hidden="1">'Summary Sheet'!$C$3:$L$3</definedName>
    <definedName name="solver_lhs3" localSheetId="0" hidden="1">'Summary Sheet'!$C$3:$L$3</definedName>
    <definedName name="solver_lhs4" localSheetId="0" hidden="1">'Summary Sheet'!$C$4:$L$4</definedName>
    <definedName name="solver_lhs5" localSheetId="0" hidden="1">'Summary Sheet'!$C$4:$L$4</definedName>
    <definedName name="solver_lhs6" localSheetId="0" hidden="1">'Summary Sheet'!$C$4:$L$4</definedName>
    <definedName name="solver_lhs7" localSheetId="0" hidden="1">'Summary Sheet'!$C$5:$L$5</definedName>
    <definedName name="solver_lhs8" localSheetId="0" hidden="1">'Summary Sheet'!$C$5:$L$5</definedName>
    <definedName name="solver_lhs9" localSheetId="0" hidden="1">'Summary Sheet'!$L$9</definedName>
    <definedName name="solver_mip" localSheetId="3" hidden="1">2147483647</definedName>
    <definedName name="solver_mip" localSheetId="0" hidden="1">2147483647</definedName>
    <definedName name="solver_mni" localSheetId="3" hidden="1">30</definedName>
    <definedName name="solver_mni" localSheetId="0" hidden="1">90</definedName>
    <definedName name="solver_mrt" localSheetId="3" hidden="1">0.075</definedName>
    <definedName name="solver_mrt" localSheetId="0" hidden="1">0.075</definedName>
    <definedName name="solver_msl" localSheetId="3" hidden="1">2</definedName>
    <definedName name="solver_msl" localSheetId="0" hidden="1">2</definedName>
    <definedName name="solver_neg" localSheetId="3" hidden="1">1</definedName>
    <definedName name="solver_neg" localSheetId="0" hidden="1">1</definedName>
    <definedName name="solver_nod" localSheetId="3" hidden="1">2147483647</definedName>
    <definedName name="solver_nod" localSheetId="0" hidden="1">2147483647</definedName>
    <definedName name="solver_num" localSheetId="3" hidden="1">0</definedName>
    <definedName name="solver_num" localSheetId="0" hidden="1">10</definedName>
    <definedName name="solver_nwt" localSheetId="3" hidden="1">1</definedName>
    <definedName name="solver_nwt" localSheetId="0" hidden="1">1</definedName>
    <definedName name="solver_opt" localSheetId="3" hidden="1">'2018 Calculator'!$D$24</definedName>
    <definedName name="solver_opt" localSheetId="0" hidden="1">'Summary Sheet'!$B$39</definedName>
    <definedName name="solver_pre" localSheetId="3" hidden="1">0.000001</definedName>
    <definedName name="solver_pre" localSheetId="0" hidden="1">0.0001</definedName>
    <definedName name="solver_rbv" localSheetId="3" hidden="1">1</definedName>
    <definedName name="solver_rbv" localSheetId="0" hidden="1">1</definedName>
    <definedName name="solver_rel1" localSheetId="0" hidden="1">1</definedName>
    <definedName name="solver_rel10" localSheetId="0" hidden="1">1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el5" localSheetId="0" hidden="1">4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el9" localSheetId="0" hidden="1">1</definedName>
    <definedName name="solver_rhs1" localSheetId="0" hidden="1">43258</definedName>
    <definedName name="solver_rhs10" localSheetId="0" hidden="1">10000</definedName>
    <definedName name="solver_rhs2" localSheetId="0" hidden="1">integer</definedName>
    <definedName name="solver_rhs3" localSheetId="0" hidden="1">38184</definedName>
    <definedName name="solver_rhs4" localSheetId="0" hidden="1">1000</definedName>
    <definedName name="solver_rhs5" localSheetId="0" hidden="1">integer</definedName>
    <definedName name="solver_rhs6" localSheetId="0" hidden="1">0</definedName>
    <definedName name="solver_rhs7" localSheetId="0" hidden="1">15</definedName>
    <definedName name="solver_rhs8" localSheetId="0" hidden="1">6</definedName>
    <definedName name="solver_rhs9" localSheetId="0" hidden="1">0.5</definedName>
    <definedName name="solver_rlx" localSheetId="3" hidden="1">2</definedName>
    <definedName name="solver_rlx" localSheetId="0" hidden="1">2</definedName>
    <definedName name="solver_rsd" localSheetId="3" hidden="1">0</definedName>
    <definedName name="solver_rsd" localSheetId="0" hidden="1">0</definedName>
    <definedName name="solver_scl" localSheetId="3" hidden="1">1</definedName>
    <definedName name="solver_scl" localSheetId="0" hidden="1">1</definedName>
    <definedName name="solver_sho" localSheetId="3" hidden="1">2</definedName>
    <definedName name="solver_sho" localSheetId="0" hidden="1">2</definedName>
    <definedName name="solver_ssz" localSheetId="3" hidden="1">100</definedName>
    <definedName name="solver_ssz" localSheetId="0" hidden="1">100</definedName>
    <definedName name="solver_tim" localSheetId="3" hidden="1">2147483647</definedName>
    <definedName name="solver_tim" localSheetId="0" hidden="1">120</definedName>
    <definedName name="solver_tol" localSheetId="3" hidden="1">0.01</definedName>
    <definedName name="solver_tol" localSheetId="0" hidden="1">0.01</definedName>
    <definedName name="solver_typ" localSheetId="3" hidden="1">3</definedName>
    <definedName name="solver_typ" localSheetId="0" hidden="1">1</definedName>
    <definedName name="solver_val" localSheetId="3" hidden="1">47597.56</definedName>
    <definedName name="solver_val" localSheetId="0" hidden="1">0</definedName>
    <definedName name="solver_ver" localSheetId="3" hidden="1">3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1" i="20" l="1"/>
  <c r="L17" i="15" l="1"/>
  <c r="K17" i="15"/>
  <c r="J17" i="15"/>
  <c r="I17" i="15"/>
  <c r="H17" i="15"/>
  <c r="G17" i="15"/>
  <c r="F17" i="15"/>
  <c r="E17" i="15"/>
  <c r="D17" i="15"/>
  <c r="C17" i="15"/>
  <c r="C6" i="15" l="1"/>
  <c r="C33" i="15" l="1"/>
  <c r="B27" i="5" l="1"/>
  <c r="AN14" i="17"/>
  <c r="AM14" i="17"/>
  <c r="AL14" i="17"/>
  <c r="AJ14" i="17"/>
  <c r="AI14" i="17"/>
  <c r="AH14" i="17"/>
  <c r="AF14" i="17"/>
  <c r="AE14" i="17"/>
  <c r="AD14" i="17"/>
  <c r="AB14" i="17"/>
  <c r="AA14" i="17"/>
  <c r="Z14" i="17"/>
  <c r="X14" i="17"/>
  <c r="W14" i="17"/>
  <c r="V14" i="17"/>
  <c r="T14" i="17"/>
  <c r="S14" i="17"/>
  <c r="R14" i="17"/>
  <c r="P14" i="17"/>
  <c r="O14" i="17"/>
  <c r="N14" i="17"/>
  <c r="L14" i="17"/>
  <c r="K14" i="17"/>
  <c r="J14" i="17"/>
  <c r="H14" i="17"/>
  <c r="G14" i="17"/>
  <c r="F14" i="17"/>
  <c r="D14" i="17"/>
  <c r="C14" i="17"/>
  <c r="B14" i="17"/>
  <c r="L6" i="15"/>
  <c r="D6" i="15"/>
  <c r="K6" i="15" l="1"/>
  <c r="G6" i="15"/>
  <c r="J6" i="15"/>
  <c r="F6" i="15"/>
  <c r="I6" i="15"/>
  <c r="E6" i="15"/>
  <c r="H6" i="15"/>
  <c r="C30" i="15"/>
  <c r="B28" i="5" l="1"/>
  <c r="C30" i="20" l="1"/>
  <c r="D30" i="20"/>
  <c r="D25" i="21" s="1"/>
  <c r="E30" i="20"/>
  <c r="E25" i="21" s="1"/>
  <c r="F30" i="20"/>
  <c r="F25" i="21" s="1"/>
  <c r="G30" i="20"/>
  <c r="G25" i="21" s="1"/>
  <c r="H30" i="20"/>
  <c r="H25" i="21" s="1"/>
  <c r="I30" i="20"/>
  <c r="I25" i="21" s="1"/>
  <c r="J30" i="20"/>
  <c r="J25" i="21" s="1"/>
  <c r="K30" i="20"/>
  <c r="K25" i="21" s="1"/>
  <c r="B30" i="20"/>
  <c r="B25" i="21" s="1"/>
  <c r="C24" i="21"/>
  <c r="D24" i="21"/>
  <c r="E24" i="21"/>
  <c r="F24" i="21"/>
  <c r="G24" i="21"/>
  <c r="H24" i="21"/>
  <c r="I24" i="21"/>
  <c r="J24" i="21"/>
  <c r="K24" i="21"/>
  <c r="B24" i="21"/>
  <c r="C16" i="21"/>
  <c r="D16" i="21"/>
  <c r="E16" i="21"/>
  <c r="F16" i="21"/>
  <c r="G16" i="21"/>
  <c r="H16" i="21"/>
  <c r="I16" i="21"/>
  <c r="J16" i="21"/>
  <c r="K16" i="21"/>
  <c r="B16" i="21"/>
  <c r="C13" i="21"/>
  <c r="D13" i="21"/>
  <c r="E13" i="21"/>
  <c r="F13" i="21"/>
  <c r="G13" i="21"/>
  <c r="H13" i="21"/>
  <c r="I13" i="21"/>
  <c r="J13" i="21"/>
  <c r="K13" i="21"/>
  <c r="B13" i="21"/>
  <c r="C10" i="21"/>
  <c r="D10" i="21"/>
  <c r="E10" i="21"/>
  <c r="F10" i="21"/>
  <c r="G10" i="21"/>
  <c r="H10" i="21"/>
  <c r="I10" i="21"/>
  <c r="J10" i="21"/>
  <c r="K10" i="21"/>
  <c r="B10" i="21"/>
  <c r="C9" i="21"/>
  <c r="D9" i="21"/>
  <c r="E9" i="21"/>
  <c r="F9" i="21"/>
  <c r="G9" i="21"/>
  <c r="H9" i="21"/>
  <c r="I9" i="21"/>
  <c r="J9" i="21"/>
  <c r="K9" i="21"/>
  <c r="B9" i="21"/>
  <c r="C6" i="21"/>
  <c r="D6" i="21"/>
  <c r="E6" i="21"/>
  <c r="F6" i="21"/>
  <c r="G6" i="21"/>
  <c r="H6" i="21"/>
  <c r="I6" i="21"/>
  <c r="J6" i="21"/>
  <c r="K6" i="21"/>
  <c r="B6" i="21"/>
  <c r="C5" i="21"/>
  <c r="D5" i="21"/>
  <c r="E5" i="21"/>
  <c r="F5" i="21"/>
  <c r="G5" i="21"/>
  <c r="H5" i="21"/>
  <c r="I5" i="21"/>
  <c r="J5" i="21"/>
  <c r="K5" i="21"/>
  <c r="B5" i="21"/>
  <c r="C3" i="21"/>
  <c r="D3" i="21"/>
  <c r="E3" i="21"/>
  <c r="F3" i="21"/>
  <c r="G3" i="21"/>
  <c r="H3" i="21"/>
  <c r="I3" i="21"/>
  <c r="J3" i="21"/>
  <c r="K3" i="21"/>
  <c r="B3" i="21"/>
  <c r="C2" i="21"/>
  <c r="D2" i="21"/>
  <c r="E2" i="21"/>
  <c r="F2" i="21"/>
  <c r="G2" i="21"/>
  <c r="H2" i="21"/>
  <c r="I2" i="21"/>
  <c r="J2" i="21"/>
  <c r="K2" i="21"/>
  <c r="B2" i="21"/>
  <c r="K29" i="20"/>
  <c r="J29" i="20"/>
  <c r="I29" i="20"/>
  <c r="H29" i="20"/>
  <c r="G29" i="20"/>
  <c r="F29" i="20"/>
  <c r="E29" i="20"/>
  <c r="D29" i="20"/>
  <c r="C29" i="20"/>
  <c r="B29" i="20"/>
  <c r="K20" i="20"/>
  <c r="J20" i="20"/>
  <c r="I20" i="20"/>
  <c r="H20" i="20"/>
  <c r="G20" i="20"/>
  <c r="F20" i="20"/>
  <c r="E20" i="20"/>
  <c r="D20" i="20"/>
  <c r="C20" i="20"/>
  <c r="B20" i="20"/>
  <c r="C11" i="20"/>
  <c r="D11" i="20"/>
  <c r="E11" i="20"/>
  <c r="F11" i="20"/>
  <c r="G11" i="20"/>
  <c r="H11" i="20"/>
  <c r="I11" i="20"/>
  <c r="J11" i="20"/>
  <c r="K11" i="20"/>
  <c r="B11" i="20"/>
  <c r="I26" i="21" l="1"/>
  <c r="J12" i="15" s="1"/>
  <c r="D26" i="21"/>
  <c r="E12" i="15" s="1"/>
  <c r="C25" i="21"/>
  <c r="C26" i="21" s="1"/>
  <c r="D12" i="15" s="1"/>
  <c r="H26" i="21"/>
  <c r="I12" i="15" s="1"/>
  <c r="J26" i="21"/>
  <c r="K12" i="15" s="1"/>
  <c r="K26" i="21"/>
  <c r="L12" i="15" s="1"/>
  <c r="G26" i="21"/>
  <c r="H12" i="15" s="1"/>
  <c r="H4" i="21"/>
  <c r="D4" i="21"/>
  <c r="K4" i="21"/>
  <c r="G4" i="21"/>
  <c r="C4" i="21"/>
  <c r="F26" i="21"/>
  <c r="G12" i="15" s="1"/>
  <c r="E26" i="21"/>
  <c r="F12" i="15" s="1"/>
  <c r="B26" i="21"/>
  <c r="C12" i="15" s="1"/>
  <c r="L16" i="21"/>
  <c r="B17" i="21" s="1"/>
  <c r="L13" i="21"/>
  <c r="B14" i="21" s="1"/>
  <c r="L10" i="21"/>
  <c r="I4" i="21"/>
  <c r="E4" i="21"/>
  <c r="B4" i="21"/>
  <c r="J4" i="21"/>
  <c r="F4" i="21"/>
  <c r="L5" i="21"/>
  <c r="L9" i="21"/>
  <c r="L6" i="21"/>
  <c r="D34" i="15"/>
  <c r="E34" i="15"/>
  <c r="F34" i="15"/>
  <c r="G34" i="15"/>
  <c r="H34" i="15"/>
  <c r="I34" i="15"/>
  <c r="J34" i="15"/>
  <c r="K34" i="15"/>
  <c r="L34" i="15"/>
  <c r="C34" i="15"/>
  <c r="C25" i="20"/>
  <c r="D25" i="20"/>
  <c r="E11" i="15"/>
  <c r="F11" i="15"/>
  <c r="G11" i="15"/>
  <c r="H11" i="15"/>
  <c r="I11" i="15"/>
  <c r="J11" i="15"/>
  <c r="K11" i="15"/>
  <c r="L11" i="15"/>
  <c r="D11" i="15"/>
  <c r="C11" i="15"/>
  <c r="C43" i="20"/>
  <c r="B43" i="20"/>
  <c r="B25" i="20"/>
  <c r="C16" i="20"/>
  <c r="B16" i="20"/>
  <c r="B11" i="21" l="1"/>
  <c r="L4" i="21"/>
  <c r="L24" i="21" s="1"/>
  <c r="L9" i="15" s="1"/>
  <c r="E25" i="20"/>
  <c r="D43" i="20"/>
  <c r="B25" i="5"/>
  <c r="B26" i="5"/>
  <c r="B24" i="5"/>
  <c r="B7" i="21" l="1"/>
  <c r="B18" i="21" s="1"/>
  <c r="C10" i="15" s="1"/>
  <c r="F25" i="20"/>
  <c r="D16" i="20"/>
  <c r="M4" i="15"/>
  <c r="C3" i="11"/>
  <c r="C5" i="11" s="1"/>
  <c r="D3" i="11"/>
  <c r="D5" i="11" s="1"/>
  <c r="E3" i="11"/>
  <c r="E5" i="11" s="1"/>
  <c r="F3" i="11"/>
  <c r="F5" i="11" s="1"/>
  <c r="G3" i="11"/>
  <c r="G5" i="11" s="1"/>
  <c r="H3" i="11"/>
  <c r="H5" i="11" s="1"/>
  <c r="I3" i="11"/>
  <c r="I5" i="11" s="1"/>
  <c r="J3" i="11"/>
  <c r="J5" i="11" s="1"/>
  <c r="K3" i="11"/>
  <c r="K5" i="11" s="1"/>
  <c r="B3" i="11"/>
  <c r="B5" i="11" s="1"/>
  <c r="N6" i="13"/>
  <c r="N7" i="13" s="1"/>
  <c r="N9" i="13" s="1"/>
  <c r="N10" i="13" s="1"/>
  <c r="N6" i="16"/>
  <c r="N6" i="17"/>
  <c r="J6" i="13"/>
  <c r="J7" i="13" s="1"/>
  <c r="J9" i="13" s="1"/>
  <c r="J6" i="16"/>
  <c r="J6" i="17"/>
  <c r="F6" i="13"/>
  <c r="F7" i="13" s="1"/>
  <c r="F6" i="16"/>
  <c r="F6" i="17"/>
  <c r="B6" i="13"/>
  <c r="B7" i="13" s="1"/>
  <c r="B6" i="16"/>
  <c r="B6" i="17"/>
  <c r="G6" i="13"/>
  <c r="G7" i="13" s="1"/>
  <c r="G8" i="13"/>
  <c r="G6" i="16"/>
  <c r="G8" i="16"/>
  <c r="G6" i="17"/>
  <c r="G8" i="17"/>
  <c r="H6" i="13"/>
  <c r="H7" i="13" s="1"/>
  <c r="H8" i="13"/>
  <c r="H6" i="16"/>
  <c r="H8" i="16"/>
  <c r="H6" i="17"/>
  <c r="H8" i="17"/>
  <c r="K6" i="13"/>
  <c r="K7" i="13" s="1"/>
  <c r="K8" i="13"/>
  <c r="K6" i="16"/>
  <c r="K8" i="16"/>
  <c r="K6" i="17"/>
  <c r="K8" i="17"/>
  <c r="L6" i="13"/>
  <c r="L7" i="13" s="1"/>
  <c r="L8" i="13"/>
  <c r="L6" i="16"/>
  <c r="L8" i="16"/>
  <c r="L6" i="17"/>
  <c r="L8" i="17"/>
  <c r="O6" i="13"/>
  <c r="O7" i="13" s="1"/>
  <c r="O8" i="13"/>
  <c r="O6" i="16"/>
  <c r="O8" i="16"/>
  <c r="O6" i="17"/>
  <c r="O8" i="17"/>
  <c r="P6" i="13"/>
  <c r="P7" i="13" s="1"/>
  <c r="P8" i="13"/>
  <c r="P6" i="16"/>
  <c r="P8" i="16"/>
  <c r="P6" i="17"/>
  <c r="P8" i="17"/>
  <c r="C6" i="13"/>
  <c r="C7" i="13" s="1"/>
  <c r="C8" i="13"/>
  <c r="C6" i="16"/>
  <c r="C8" i="16"/>
  <c r="C6" i="17"/>
  <c r="C8" i="17"/>
  <c r="D6" i="13"/>
  <c r="D7" i="13" s="1"/>
  <c r="D8" i="13"/>
  <c r="D6" i="16"/>
  <c r="D8" i="16"/>
  <c r="D6" i="17"/>
  <c r="D8" i="17"/>
  <c r="B14" i="5"/>
  <c r="J7" i="5"/>
  <c r="M7" i="5"/>
  <c r="C18" i="5"/>
  <c r="B15" i="5"/>
  <c r="J8" i="5"/>
  <c r="M8" i="5"/>
  <c r="D18" i="5"/>
  <c r="B16" i="5"/>
  <c r="E44" i="12"/>
  <c r="G43" i="12"/>
  <c r="E43" i="12"/>
  <c r="C31" i="15"/>
  <c r="C29" i="15" s="1"/>
  <c r="G26" i="12"/>
  <c r="G25" i="12"/>
  <c r="E25" i="12"/>
  <c r="F15" i="4"/>
  <c r="B15" i="4"/>
  <c r="D23" i="5"/>
  <c r="D22" i="5"/>
  <c r="B2" i="5"/>
  <c r="B6" i="5"/>
  <c r="I7" i="5"/>
  <c r="I6" i="5"/>
  <c r="G17" i="12"/>
  <c r="G4" i="12"/>
  <c r="B32" i="4"/>
  <c r="F32" i="4"/>
  <c r="F26" i="4"/>
  <c r="G31" i="12"/>
  <c r="E31" i="12"/>
  <c r="E32" i="12"/>
  <c r="B7" i="4"/>
  <c r="B9" i="4"/>
  <c r="B8" i="4"/>
  <c r="B10" i="4"/>
  <c r="B5" i="4"/>
  <c r="B6" i="4"/>
  <c r="B4" i="4"/>
  <c r="B3" i="4"/>
  <c r="AN5" i="13"/>
  <c r="AM5" i="13"/>
  <c r="AL5" i="13"/>
  <c r="AJ5" i="13"/>
  <c r="AI5" i="13"/>
  <c r="AH5" i="13"/>
  <c r="AF5" i="13"/>
  <c r="AE5" i="13"/>
  <c r="AD5" i="13"/>
  <c r="AB5" i="13"/>
  <c r="AA5" i="13"/>
  <c r="Z5" i="13"/>
  <c r="X5" i="13"/>
  <c r="W5" i="13"/>
  <c r="V5" i="13"/>
  <c r="T5" i="13"/>
  <c r="S5" i="13"/>
  <c r="R5" i="13"/>
  <c r="P5" i="13"/>
  <c r="O5" i="13"/>
  <c r="N5" i="13"/>
  <c r="L5" i="13"/>
  <c r="K5" i="13"/>
  <c r="J5" i="13"/>
  <c r="H5" i="13"/>
  <c r="G5" i="13"/>
  <c r="F5" i="13"/>
  <c r="D5" i="13"/>
  <c r="C5" i="13"/>
  <c r="B5" i="13"/>
  <c r="C34" i="20"/>
  <c r="D34" i="20"/>
  <c r="E34" i="20"/>
  <c r="B34" i="20"/>
  <c r="C7" i="20"/>
  <c r="D7" i="20"/>
  <c r="E7" i="20"/>
  <c r="B7" i="20"/>
  <c r="J9" i="5"/>
  <c r="B10" i="5"/>
  <c r="C22" i="5"/>
  <c r="B23" i="5"/>
  <c r="F11" i="4"/>
  <c r="F10" i="4"/>
  <c r="F9" i="4"/>
  <c r="F8" i="4"/>
  <c r="F7" i="4"/>
  <c r="F6" i="4"/>
  <c r="F5" i="4"/>
  <c r="F4" i="4"/>
  <c r="F3" i="4"/>
  <c r="E33" i="12"/>
  <c r="E34" i="12"/>
  <c r="E35" i="12"/>
  <c r="E36" i="12"/>
  <c r="E37" i="12"/>
  <c r="E38" i="12"/>
  <c r="E39" i="12"/>
  <c r="E40" i="12"/>
  <c r="E41" i="12"/>
  <c r="E42" i="12"/>
  <c r="G32" i="12"/>
  <c r="G33" i="12"/>
  <c r="G34" i="12"/>
  <c r="G35" i="12"/>
  <c r="G36" i="12"/>
  <c r="G37" i="12"/>
  <c r="G38" i="12"/>
  <c r="G39" i="12"/>
  <c r="G40" i="12"/>
  <c r="G41" i="12"/>
  <c r="G44" i="12"/>
  <c r="G42" i="12"/>
  <c r="G18" i="12"/>
  <c r="G19" i="12"/>
  <c r="G20" i="12"/>
  <c r="G21" i="12"/>
  <c r="G22" i="12"/>
  <c r="G23" i="12"/>
  <c r="G24" i="12"/>
  <c r="E26" i="12"/>
  <c r="E17" i="12"/>
  <c r="E18" i="12"/>
  <c r="E19" i="12"/>
  <c r="E20" i="12"/>
  <c r="E21" i="12"/>
  <c r="E22" i="12"/>
  <c r="E23" i="12"/>
  <c r="E24" i="12"/>
  <c r="E4" i="12"/>
  <c r="E5" i="12"/>
  <c r="E6" i="12"/>
  <c r="E7" i="12"/>
  <c r="E8" i="12"/>
  <c r="E9" i="12"/>
  <c r="E10" i="12"/>
  <c r="E11" i="12"/>
  <c r="E12" i="12"/>
  <c r="G5" i="12"/>
  <c r="G6" i="12"/>
  <c r="G7" i="12"/>
  <c r="G8" i="12"/>
  <c r="G9" i="12"/>
  <c r="G10" i="12"/>
  <c r="G11" i="12"/>
  <c r="G12" i="12"/>
  <c r="F38" i="4"/>
  <c r="F37" i="4"/>
  <c r="F36" i="4"/>
  <c r="F35" i="4"/>
  <c r="F34" i="4"/>
  <c r="F33" i="4"/>
  <c r="F31" i="4"/>
  <c r="F30" i="4"/>
  <c r="F29" i="4"/>
  <c r="F28" i="4"/>
  <c r="F27" i="4"/>
  <c r="F16" i="4"/>
  <c r="F17" i="4"/>
  <c r="F18" i="4"/>
  <c r="F19" i="4"/>
  <c r="F20" i="4"/>
  <c r="F21" i="4"/>
  <c r="F22" i="4"/>
  <c r="C23" i="5"/>
  <c r="L8" i="5"/>
  <c r="L9" i="5"/>
  <c r="K7" i="5"/>
  <c r="K6" i="5"/>
  <c r="K9" i="5"/>
  <c r="M9" i="5"/>
  <c r="N8" i="5"/>
  <c r="M6" i="5"/>
  <c r="N6" i="5"/>
  <c r="B18" i="5"/>
  <c r="N7" i="5"/>
  <c r="U14" i="17"/>
  <c r="I14" i="17"/>
  <c r="AC14" i="17"/>
  <c r="M14" i="17"/>
  <c r="Q14" i="17"/>
  <c r="Y14" i="17"/>
  <c r="M12" i="15" l="1"/>
  <c r="AO14" i="17"/>
  <c r="AK14" i="17"/>
  <c r="E14" i="17"/>
  <c r="AG14" i="17"/>
  <c r="C9" i="15"/>
  <c r="G25" i="20"/>
  <c r="E36" i="20"/>
  <c r="N5" i="16" s="1"/>
  <c r="N7" i="16" s="1"/>
  <c r="N9" i="16" s="1"/>
  <c r="E43" i="20"/>
  <c r="E16" i="20"/>
  <c r="E5" i="13"/>
  <c r="I5" i="13"/>
  <c r="Q6" i="17"/>
  <c r="Q8" i="17"/>
  <c r="E8" i="16"/>
  <c r="E6" i="16"/>
  <c r="M6" i="16"/>
  <c r="Q6" i="13"/>
  <c r="I6" i="16"/>
  <c r="E6" i="17"/>
  <c r="M8" i="13"/>
  <c r="Q8" i="13"/>
  <c r="M8" i="16"/>
  <c r="E8" i="17"/>
  <c r="E8" i="13"/>
  <c r="Q8" i="16"/>
  <c r="M8" i="17"/>
  <c r="I8" i="17"/>
  <c r="I8" i="16"/>
  <c r="I8" i="13"/>
  <c r="M6" i="17"/>
  <c r="Q6" i="16"/>
  <c r="M6" i="13"/>
  <c r="I6" i="17"/>
  <c r="P9" i="13"/>
  <c r="P10" i="13" s="1"/>
  <c r="H9" i="13"/>
  <c r="H10" i="13" s="1"/>
  <c r="G9" i="13"/>
  <c r="G10" i="13" s="1"/>
  <c r="I6" i="13"/>
  <c r="L5" i="11"/>
  <c r="B8" i="11" s="1"/>
  <c r="B9" i="15" s="1"/>
  <c r="L3" i="11"/>
  <c r="B4" i="11" s="1"/>
  <c r="L9" i="13"/>
  <c r="L10" i="13" s="1"/>
  <c r="D9" i="13"/>
  <c r="D10" i="13" s="1"/>
  <c r="C9" i="13"/>
  <c r="C10" i="13" s="1"/>
  <c r="K9" i="13"/>
  <c r="K10" i="13" s="1"/>
  <c r="M7" i="13"/>
  <c r="M6" i="15"/>
  <c r="E6" i="13"/>
  <c r="J10" i="13"/>
  <c r="D36" i="20" s="1"/>
  <c r="O9" i="13"/>
  <c r="Q7" i="13"/>
  <c r="F9" i="13"/>
  <c r="I7" i="13"/>
  <c r="B9" i="13"/>
  <c r="E7" i="13"/>
  <c r="B37" i="20" l="1"/>
  <c r="C5" i="16" s="1"/>
  <c r="C7" i="16" s="1"/>
  <c r="C9" i="16" s="1"/>
  <c r="C12" i="16" s="1"/>
  <c r="B46" i="20" s="1"/>
  <c r="C5" i="17" s="1"/>
  <c r="C7" i="17" s="1"/>
  <c r="C9" i="17" s="1"/>
  <c r="B38" i="20"/>
  <c r="D5" i="16" s="1"/>
  <c r="D7" i="16" s="1"/>
  <c r="D9" i="16" s="1"/>
  <c r="D12" i="16" s="1"/>
  <c r="B47" i="20" s="1"/>
  <c r="D5" i="17" s="1"/>
  <c r="D7" i="17" s="1"/>
  <c r="D9" i="17" s="1"/>
  <c r="H25" i="20"/>
  <c r="C38" i="20"/>
  <c r="H5" i="16" s="1"/>
  <c r="H7" i="16" s="1"/>
  <c r="H9" i="16" s="1"/>
  <c r="H12" i="16" s="1"/>
  <c r="C47" i="20" s="1"/>
  <c r="H5" i="17" s="1"/>
  <c r="H7" i="17" s="1"/>
  <c r="H9" i="17" s="1"/>
  <c r="E38" i="20"/>
  <c r="P5" i="16" s="1"/>
  <c r="P7" i="16" s="1"/>
  <c r="P9" i="16" s="1"/>
  <c r="P12" i="16" s="1"/>
  <c r="E47" i="20" s="1"/>
  <c r="P5" i="17" s="1"/>
  <c r="P7" i="17" s="1"/>
  <c r="P9" i="17" s="1"/>
  <c r="D37" i="20"/>
  <c r="K5" i="16" s="1"/>
  <c r="K7" i="16" s="1"/>
  <c r="K9" i="16" s="1"/>
  <c r="K12" i="16" s="1"/>
  <c r="D38" i="20"/>
  <c r="L5" i="16" s="1"/>
  <c r="L7" i="16" s="1"/>
  <c r="L9" i="16" s="1"/>
  <c r="L12" i="16" s="1"/>
  <c r="D47" i="20" s="1"/>
  <c r="L5" i="17" s="1"/>
  <c r="L7" i="17" s="1"/>
  <c r="L9" i="17" s="1"/>
  <c r="C37" i="20"/>
  <c r="G5" i="16" s="1"/>
  <c r="G7" i="16" s="1"/>
  <c r="G9" i="16" s="1"/>
  <c r="G12" i="16" s="1"/>
  <c r="F43" i="20"/>
  <c r="R6" i="16"/>
  <c r="S6" i="16"/>
  <c r="T6" i="13"/>
  <c r="T7" i="13" s="1"/>
  <c r="T6" i="17"/>
  <c r="R6" i="17"/>
  <c r="S8" i="16"/>
  <c r="T8" i="13"/>
  <c r="T8" i="17"/>
  <c r="F34" i="20"/>
  <c r="F16" i="20"/>
  <c r="S6" i="13"/>
  <c r="S7" i="13" s="1"/>
  <c r="S6" i="17"/>
  <c r="T6" i="16"/>
  <c r="R6" i="13"/>
  <c r="S8" i="13"/>
  <c r="S8" i="17"/>
  <c r="T8" i="16"/>
  <c r="F7" i="20"/>
  <c r="K4" i="11"/>
  <c r="I4" i="11"/>
  <c r="G4" i="11"/>
  <c r="E4" i="11"/>
  <c r="C4" i="11"/>
  <c r="J4" i="11"/>
  <c r="H4" i="11"/>
  <c r="F4" i="11"/>
  <c r="D4" i="11"/>
  <c r="M9" i="13"/>
  <c r="E13" i="15" s="1"/>
  <c r="B7" i="11"/>
  <c r="B9" i="11" s="1"/>
  <c r="O10" i="13"/>
  <c r="E37" i="20" s="1"/>
  <c r="Q9" i="13"/>
  <c r="F13" i="15" s="1"/>
  <c r="N12" i="16"/>
  <c r="E45" i="20" s="1"/>
  <c r="J5" i="16"/>
  <c r="M10" i="13"/>
  <c r="E14" i="15" s="1"/>
  <c r="F10" i="13"/>
  <c r="C36" i="20" s="1"/>
  <c r="I9" i="13"/>
  <c r="D13" i="15" s="1"/>
  <c r="B10" i="13"/>
  <c r="B36" i="20" s="1"/>
  <c r="E9" i="13"/>
  <c r="C13" i="15" s="1"/>
  <c r="C21" i="21" l="1"/>
  <c r="H10" i="17"/>
  <c r="D21" i="21"/>
  <c r="L10" i="17"/>
  <c r="B21" i="21"/>
  <c r="D10" i="17"/>
  <c r="E21" i="21"/>
  <c r="P10" i="17"/>
  <c r="P15" i="17"/>
  <c r="F23" i="15" s="1"/>
  <c r="L15" i="17"/>
  <c r="E23" i="15" s="1"/>
  <c r="H15" i="17"/>
  <c r="D23" i="15" s="1"/>
  <c r="D15" i="17"/>
  <c r="C23" i="15" s="1"/>
  <c r="C15" i="17"/>
  <c r="C22" i="15" s="1"/>
  <c r="C10" i="17"/>
  <c r="B20" i="21"/>
  <c r="B22" i="21" s="1"/>
  <c r="U8" i="17"/>
  <c r="U8" i="13"/>
  <c r="U6" i="16"/>
  <c r="U6" i="17"/>
  <c r="I25" i="20"/>
  <c r="D46" i="20"/>
  <c r="K5" i="17" s="1"/>
  <c r="K7" i="17" s="1"/>
  <c r="K9" i="17" s="1"/>
  <c r="C46" i="20"/>
  <c r="G5" i="17" s="1"/>
  <c r="G7" i="17" s="1"/>
  <c r="G9" i="17" s="1"/>
  <c r="V6" i="13"/>
  <c r="W6" i="16"/>
  <c r="X6" i="13"/>
  <c r="X7" i="13" s="1"/>
  <c r="X6" i="17"/>
  <c r="G7" i="20"/>
  <c r="V6" i="16"/>
  <c r="W8" i="16"/>
  <c r="X8" i="13"/>
  <c r="X8" i="17"/>
  <c r="V6" i="17"/>
  <c r="W6" i="13"/>
  <c r="W7" i="13" s="1"/>
  <c r="W6" i="17"/>
  <c r="X6" i="16"/>
  <c r="G34" i="20"/>
  <c r="W8" i="13"/>
  <c r="W8" i="17"/>
  <c r="X8" i="16"/>
  <c r="G43" i="20"/>
  <c r="G16" i="20"/>
  <c r="T9" i="13"/>
  <c r="T10" i="13" s="1"/>
  <c r="U8" i="16"/>
  <c r="R7" i="13"/>
  <c r="U6" i="13"/>
  <c r="S9" i="13"/>
  <c r="S10" i="13" s="1"/>
  <c r="L4" i="11"/>
  <c r="J11" i="11"/>
  <c r="K11" i="11"/>
  <c r="E11" i="11"/>
  <c r="I11" i="11"/>
  <c r="C11" i="11"/>
  <c r="G11" i="11"/>
  <c r="B11" i="11"/>
  <c r="B12" i="11"/>
  <c r="D12" i="11"/>
  <c r="F12" i="11"/>
  <c r="H12" i="11"/>
  <c r="J12" i="11"/>
  <c r="K12" i="11"/>
  <c r="C12" i="11"/>
  <c r="E12" i="11"/>
  <c r="G12" i="11"/>
  <c r="I12" i="11"/>
  <c r="D11" i="11"/>
  <c r="F11" i="11"/>
  <c r="H11" i="11"/>
  <c r="J7" i="16"/>
  <c r="M5" i="16"/>
  <c r="N5" i="17"/>
  <c r="O5" i="16"/>
  <c r="Q10" i="13"/>
  <c r="F14" i="15" s="1"/>
  <c r="F5" i="16"/>
  <c r="I10" i="13"/>
  <c r="D14" i="15" s="1"/>
  <c r="B5" i="16"/>
  <c r="E10" i="13"/>
  <c r="C14" i="15" s="1"/>
  <c r="C20" i="21" l="1"/>
  <c r="C22" i="21" s="1"/>
  <c r="G10" i="17"/>
  <c r="D20" i="21"/>
  <c r="D22" i="21" s="1"/>
  <c r="K10" i="17"/>
  <c r="K15" i="17"/>
  <c r="E22" i="15" s="1"/>
  <c r="G15" i="17"/>
  <c r="D22" i="15" s="1"/>
  <c r="Y8" i="17"/>
  <c r="Y6" i="16"/>
  <c r="Y6" i="17"/>
  <c r="Y8" i="13"/>
  <c r="J25" i="20"/>
  <c r="K25" i="20"/>
  <c r="F37" i="20"/>
  <c r="S5" i="16" s="1"/>
  <c r="S7" i="16" s="1"/>
  <c r="S9" i="16" s="1"/>
  <c r="S12" i="16" s="1"/>
  <c r="F46" i="20" s="1"/>
  <c r="S5" i="17" s="1"/>
  <c r="F38" i="20"/>
  <c r="T5" i="16" s="1"/>
  <c r="T7" i="16" s="1"/>
  <c r="T9" i="16" s="1"/>
  <c r="R9" i="13"/>
  <c r="U7" i="13"/>
  <c r="H16" i="20"/>
  <c r="Z6" i="13"/>
  <c r="H7" i="20"/>
  <c r="AB6" i="16"/>
  <c r="AB8" i="16"/>
  <c r="AA6" i="16"/>
  <c r="AA8" i="16"/>
  <c r="Z6" i="16"/>
  <c r="Z6" i="17"/>
  <c r="AB6" i="13"/>
  <c r="AB7" i="13" s="1"/>
  <c r="AB8" i="13"/>
  <c r="AA6" i="13"/>
  <c r="AA7" i="13" s="1"/>
  <c r="AA8" i="13"/>
  <c r="H34" i="20"/>
  <c r="H43" i="20"/>
  <c r="AB6" i="17"/>
  <c r="AB8" i="17"/>
  <c r="AA6" i="17"/>
  <c r="AA8" i="17"/>
  <c r="W9" i="13"/>
  <c r="W10" i="13" s="1"/>
  <c r="Y8" i="16"/>
  <c r="X9" i="13"/>
  <c r="X10" i="13" s="1"/>
  <c r="V7" i="13"/>
  <c r="Y6" i="13"/>
  <c r="G13" i="11"/>
  <c r="C13" i="11"/>
  <c r="J13" i="11"/>
  <c r="F13" i="11"/>
  <c r="L12" i="11"/>
  <c r="B13" i="11"/>
  <c r="I13" i="11"/>
  <c r="E13" i="11"/>
  <c r="K13" i="11"/>
  <c r="H13" i="11"/>
  <c r="D13" i="11"/>
  <c r="L11" i="11"/>
  <c r="O7" i="16"/>
  <c r="Q5" i="16"/>
  <c r="N7" i="17"/>
  <c r="N10" i="17" s="1"/>
  <c r="J9" i="16"/>
  <c r="M7" i="16"/>
  <c r="F7" i="16"/>
  <c r="I5" i="16"/>
  <c r="B7" i="16"/>
  <c r="E5" i="16"/>
  <c r="AC6" i="16" l="1"/>
  <c r="K14" i="11"/>
  <c r="AC6" i="17"/>
  <c r="E14" i="11"/>
  <c r="D14" i="11"/>
  <c r="H14" i="11"/>
  <c r="I14" i="11"/>
  <c r="B14" i="11"/>
  <c r="G14" i="11"/>
  <c r="F14" i="11"/>
  <c r="J14" i="11"/>
  <c r="C14" i="11"/>
  <c r="AA9" i="13"/>
  <c r="AA10" i="13" s="1"/>
  <c r="H37" i="20" s="1"/>
  <c r="AA5" i="16" s="1"/>
  <c r="AA7" i="16" s="1"/>
  <c r="AA9" i="16" s="1"/>
  <c r="AC8" i="17"/>
  <c r="AC8" i="16"/>
  <c r="G38" i="20"/>
  <c r="X5" i="16" s="1"/>
  <c r="X7" i="16" s="1"/>
  <c r="X9" i="16" s="1"/>
  <c r="X12" i="16" s="1"/>
  <c r="G47" i="20" s="1"/>
  <c r="X5" i="17" s="1"/>
  <c r="X7" i="17" s="1"/>
  <c r="X9" i="17" s="1"/>
  <c r="G37" i="20"/>
  <c r="W5" i="16" s="1"/>
  <c r="W7" i="16" s="1"/>
  <c r="W9" i="16" s="1"/>
  <c r="AC6" i="13"/>
  <c r="Z7" i="13"/>
  <c r="V9" i="13"/>
  <c r="Y7" i="13"/>
  <c r="AB9" i="13"/>
  <c r="AB10" i="13" s="1"/>
  <c r="AC8" i="13"/>
  <c r="I43" i="20"/>
  <c r="AF6" i="13"/>
  <c r="AF7" i="13" s="1"/>
  <c r="AE8" i="16"/>
  <c r="AE6" i="13"/>
  <c r="AE7" i="13" s="1"/>
  <c r="AD6" i="16"/>
  <c r="I16" i="20"/>
  <c r="AF6" i="17"/>
  <c r="AF8" i="13"/>
  <c r="AE6" i="17"/>
  <c r="AE8" i="13"/>
  <c r="AD6" i="17"/>
  <c r="AF8" i="17"/>
  <c r="AF6" i="16"/>
  <c r="AE8" i="17"/>
  <c r="AE6" i="16"/>
  <c r="I34" i="20"/>
  <c r="AD6" i="13"/>
  <c r="I7" i="20"/>
  <c r="AF8" i="16"/>
  <c r="R10" i="13"/>
  <c r="F36" i="20" s="1"/>
  <c r="U9" i="13"/>
  <c r="G13" i="15" s="1"/>
  <c r="J12" i="16"/>
  <c r="D45" i="20" s="1"/>
  <c r="M9" i="16"/>
  <c r="E15" i="15" s="1"/>
  <c r="N9" i="17"/>
  <c r="T12" i="16"/>
  <c r="F47" i="20" s="1"/>
  <c r="S7" i="17"/>
  <c r="O9" i="16"/>
  <c r="Q7" i="16"/>
  <c r="F9" i="16"/>
  <c r="I7" i="16"/>
  <c r="B9" i="16"/>
  <c r="E7" i="16"/>
  <c r="G21" i="21" l="1"/>
  <c r="X10" i="17"/>
  <c r="X15" i="17"/>
  <c r="H23" i="15" s="1"/>
  <c r="N24" i="17"/>
  <c r="N15" i="17"/>
  <c r="N16" i="17" s="1"/>
  <c r="AG6" i="16"/>
  <c r="AG6" i="17"/>
  <c r="AG8" i="17"/>
  <c r="AG8" i="13"/>
  <c r="H38" i="20"/>
  <c r="AB5" i="16" s="1"/>
  <c r="AB7" i="16" s="1"/>
  <c r="AB9" i="16" s="1"/>
  <c r="AB12" i="16" s="1"/>
  <c r="H47" i="20" s="1"/>
  <c r="AB5" i="17" s="1"/>
  <c r="AB7" i="17" s="1"/>
  <c r="AB9" i="17" s="1"/>
  <c r="R5" i="16"/>
  <c r="U10" i="13"/>
  <c r="G14" i="15" s="1"/>
  <c r="AF9" i="13"/>
  <c r="AF10" i="13" s="1"/>
  <c r="V10" i="13"/>
  <c r="G36" i="20" s="1"/>
  <c r="Y9" i="13"/>
  <c r="H13" i="15" s="1"/>
  <c r="AH6" i="16"/>
  <c r="AH6" i="17"/>
  <c r="AJ6" i="16"/>
  <c r="AJ8" i="16"/>
  <c r="J7" i="20"/>
  <c r="AI6" i="16"/>
  <c r="AI8" i="16"/>
  <c r="J34" i="20"/>
  <c r="AH6" i="13"/>
  <c r="J43" i="20"/>
  <c r="AJ6" i="13"/>
  <c r="AJ7" i="13" s="1"/>
  <c r="AJ8" i="13"/>
  <c r="AI6" i="13"/>
  <c r="AI7" i="13" s="1"/>
  <c r="AI8" i="13"/>
  <c r="J16" i="20"/>
  <c r="AJ6" i="17"/>
  <c r="AJ8" i="17"/>
  <c r="AI6" i="17"/>
  <c r="AI8" i="17"/>
  <c r="AE9" i="13"/>
  <c r="AE10" i="13" s="1"/>
  <c r="Z9" i="13"/>
  <c r="AC7" i="13"/>
  <c r="AG6" i="13"/>
  <c r="AD7" i="13"/>
  <c r="AG8" i="16"/>
  <c r="AA12" i="16"/>
  <c r="H46" i="20" s="1"/>
  <c r="L14" i="11"/>
  <c r="O12" i="16"/>
  <c r="E46" i="20" s="1"/>
  <c r="Q9" i="16"/>
  <c r="F15" i="15" s="1"/>
  <c r="S9" i="17"/>
  <c r="W12" i="16"/>
  <c r="G46" i="20" s="1"/>
  <c r="J5" i="17"/>
  <c r="M12" i="16"/>
  <c r="E16" i="15" s="1"/>
  <c r="F12" i="16"/>
  <c r="C45" i="20" s="1"/>
  <c r="I9" i="16"/>
  <c r="D15" i="15" s="1"/>
  <c r="B12" i="16"/>
  <c r="B45" i="20" s="1"/>
  <c r="E9" i="16"/>
  <c r="C15" i="15" s="1"/>
  <c r="H21" i="21" l="1"/>
  <c r="AB10" i="17"/>
  <c r="F20" i="21"/>
  <c r="S10" i="17"/>
  <c r="AB15" i="17"/>
  <c r="I23" i="15" s="1"/>
  <c r="S15" i="17"/>
  <c r="G22" i="15" s="1"/>
  <c r="AK8" i="17"/>
  <c r="AK6" i="16"/>
  <c r="AK8" i="16"/>
  <c r="AK6" i="17"/>
  <c r="AJ9" i="13"/>
  <c r="AJ10" i="13" s="1"/>
  <c r="J38" i="20" s="1"/>
  <c r="AJ5" i="16" s="1"/>
  <c r="AJ7" i="16" s="1"/>
  <c r="AJ9" i="16" s="1"/>
  <c r="AJ12" i="16" s="1"/>
  <c r="J47" i="20" s="1"/>
  <c r="AJ5" i="17" s="1"/>
  <c r="AJ7" i="17" s="1"/>
  <c r="AJ9" i="17" s="1"/>
  <c r="AK8" i="13"/>
  <c r="I37" i="20"/>
  <c r="AE5" i="16" s="1"/>
  <c r="AE7" i="16" s="1"/>
  <c r="AE9" i="16" s="1"/>
  <c r="AE12" i="16" s="1"/>
  <c r="I38" i="20"/>
  <c r="AF5" i="16" s="1"/>
  <c r="AF7" i="16" s="1"/>
  <c r="AF9" i="16" s="1"/>
  <c r="AF12" i="16" s="1"/>
  <c r="I47" i="20" s="1"/>
  <c r="AF5" i="17" s="1"/>
  <c r="AF7" i="17" s="1"/>
  <c r="AF9" i="17" s="1"/>
  <c r="T5" i="17"/>
  <c r="T7" i="17" s="1"/>
  <c r="V5" i="16"/>
  <c r="Y10" i="13"/>
  <c r="H14" i="15" s="1"/>
  <c r="Z10" i="13"/>
  <c r="H36" i="20" s="1"/>
  <c r="AC9" i="13"/>
  <c r="I13" i="15" s="1"/>
  <c r="AI9" i="13"/>
  <c r="AI10" i="13" s="1"/>
  <c r="AK6" i="13"/>
  <c r="AH7" i="13"/>
  <c r="K7" i="20"/>
  <c r="AN6" i="16"/>
  <c r="AM6" i="16"/>
  <c r="AL6" i="16"/>
  <c r="AL6" i="17"/>
  <c r="AN8" i="16"/>
  <c r="K43" i="20"/>
  <c r="AN6" i="13"/>
  <c r="AN7" i="13" s="1"/>
  <c r="AM8" i="16"/>
  <c r="AM6" i="13"/>
  <c r="AM7" i="13" s="1"/>
  <c r="K34" i="20"/>
  <c r="AL6" i="13"/>
  <c r="AM8" i="17"/>
  <c r="AN8" i="17"/>
  <c r="K16" i="20"/>
  <c r="AN6" i="17"/>
  <c r="AN8" i="13"/>
  <c r="AM6" i="17"/>
  <c r="AM8" i="13"/>
  <c r="AG7" i="13"/>
  <c r="AD9" i="13"/>
  <c r="R7" i="16"/>
  <c r="U5" i="16"/>
  <c r="AA5" i="17"/>
  <c r="W5" i="17"/>
  <c r="J7" i="17"/>
  <c r="J10" i="17" s="1"/>
  <c r="M10" i="17" s="1"/>
  <c r="M5" i="17"/>
  <c r="O5" i="17"/>
  <c r="Q12" i="16"/>
  <c r="F16" i="15" s="1"/>
  <c r="F5" i="17"/>
  <c r="I12" i="16"/>
  <c r="D16" i="15" s="1"/>
  <c r="B5" i="17"/>
  <c r="E12" i="16"/>
  <c r="C16" i="15" s="1"/>
  <c r="J21" i="21" l="1"/>
  <c r="AJ10" i="17"/>
  <c r="I21" i="21"/>
  <c r="AF10" i="17"/>
  <c r="AJ15" i="17"/>
  <c r="K23" i="15" s="1"/>
  <c r="AF15" i="17"/>
  <c r="J23" i="15" s="1"/>
  <c r="AO6" i="16"/>
  <c r="AO6" i="17"/>
  <c r="AM9" i="13"/>
  <c r="AM10" i="13" s="1"/>
  <c r="K37" i="20" s="1"/>
  <c r="AM5" i="16" s="1"/>
  <c r="AM7" i="16" s="1"/>
  <c r="AM9" i="16" s="1"/>
  <c r="AM12" i="16" s="1"/>
  <c r="I46" i="20"/>
  <c r="AE5" i="17" s="1"/>
  <c r="AE7" i="17" s="1"/>
  <c r="AE9" i="17" s="1"/>
  <c r="J37" i="20"/>
  <c r="AI5" i="16" s="1"/>
  <c r="AI7" i="16" s="1"/>
  <c r="AI9" i="16" s="1"/>
  <c r="AI12" i="16" s="1"/>
  <c r="AL7" i="13"/>
  <c r="AO6" i="13"/>
  <c r="AN9" i="13"/>
  <c r="AN10" i="13" s="1"/>
  <c r="R9" i="16"/>
  <c r="U7" i="16"/>
  <c r="AO8" i="13"/>
  <c r="AH9" i="13"/>
  <c r="AK7" i="13"/>
  <c r="AC10" i="13"/>
  <c r="I14" i="15" s="1"/>
  <c r="Z5" i="16"/>
  <c r="AD10" i="13"/>
  <c r="I36" i="20" s="1"/>
  <c r="AG9" i="13"/>
  <c r="J13" i="15" s="1"/>
  <c r="AO8" i="17"/>
  <c r="AO8" i="16"/>
  <c r="V7" i="16"/>
  <c r="Y5" i="16"/>
  <c r="AA7" i="17"/>
  <c r="O7" i="17"/>
  <c r="Q5" i="17"/>
  <c r="T9" i="17"/>
  <c r="W7" i="17"/>
  <c r="J9" i="17"/>
  <c r="M7" i="17"/>
  <c r="N20" i="17"/>
  <c r="F8" i="15"/>
  <c r="F21" i="15" s="1"/>
  <c r="F7" i="17"/>
  <c r="F10" i="17" s="1"/>
  <c r="I10" i="17" s="1"/>
  <c r="I5" i="17"/>
  <c r="B7" i="17"/>
  <c r="B10" i="17" s="1"/>
  <c r="E10" i="17" s="1"/>
  <c r="E5" i="17"/>
  <c r="F21" i="21" l="1"/>
  <c r="F22" i="21" s="1"/>
  <c r="T10" i="17"/>
  <c r="I20" i="21"/>
  <c r="I22" i="21" s="1"/>
  <c r="AE10" i="17"/>
  <c r="AE15" i="17"/>
  <c r="J22" i="15" s="1"/>
  <c r="T15" i="17"/>
  <c r="G23" i="15" s="1"/>
  <c r="J24" i="17"/>
  <c r="M9" i="17"/>
  <c r="E18" i="15" s="1"/>
  <c r="J15" i="17"/>
  <c r="J16" i="17" s="1"/>
  <c r="E16" i="11"/>
  <c r="F38" i="15"/>
  <c r="J46" i="20"/>
  <c r="AI5" i="17" s="1"/>
  <c r="AI7" i="17" s="1"/>
  <c r="AI9" i="17" s="1"/>
  <c r="K46" i="20"/>
  <c r="AM5" i="17" s="1"/>
  <c r="AM7" i="17" s="1"/>
  <c r="AM9" i="17" s="1"/>
  <c r="K38" i="20"/>
  <c r="AN5" i="16" s="1"/>
  <c r="AN7" i="16" s="1"/>
  <c r="AN9" i="16" s="1"/>
  <c r="AN12" i="16" s="1"/>
  <c r="K47" i="20" s="1"/>
  <c r="AN5" i="17" s="1"/>
  <c r="AN7" i="17" s="1"/>
  <c r="AN9" i="17" s="1"/>
  <c r="R12" i="16"/>
  <c r="F45" i="20" s="1"/>
  <c r="U9" i="16"/>
  <c r="G15" i="15" s="1"/>
  <c r="AK9" i="13"/>
  <c r="K13" i="15" s="1"/>
  <c r="AH10" i="13"/>
  <c r="J36" i="20" s="1"/>
  <c r="V9" i="16"/>
  <c r="Y7" i="16"/>
  <c r="AD5" i="16"/>
  <c r="AG10" i="13"/>
  <c r="J14" i="15" s="1"/>
  <c r="AC5" i="16"/>
  <c r="Z7" i="16"/>
  <c r="AO7" i="13"/>
  <c r="AL9" i="13"/>
  <c r="AA9" i="17"/>
  <c r="W9" i="17"/>
  <c r="O9" i="17"/>
  <c r="Q7" i="17"/>
  <c r="F9" i="17"/>
  <c r="I7" i="17"/>
  <c r="B9" i="17"/>
  <c r="E7" i="17"/>
  <c r="G20" i="21" l="1"/>
  <c r="G22" i="21" s="1"/>
  <c r="W10" i="17"/>
  <c r="J20" i="21"/>
  <c r="J22" i="21" s="1"/>
  <c r="AI10" i="17"/>
  <c r="H20" i="21"/>
  <c r="H22" i="21" s="1"/>
  <c r="AA10" i="17"/>
  <c r="K21" i="21"/>
  <c r="AN10" i="17"/>
  <c r="E20" i="21"/>
  <c r="E22" i="21" s="1"/>
  <c r="O10" i="17"/>
  <c r="Q10" i="17" s="1"/>
  <c r="K20" i="21"/>
  <c r="K22" i="21" s="1"/>
  <c r="AM10" i="17"/>
  <c r="AM15" i="17"/>
  <c r="L22" i="15" s="1"/>
  <c r="AN15" i="17"/>
  <c r="L23" i="15" s="1"/>
  <c r="AI15" i="17"/>
  <c r="K22" i="15" s="1"/>
  <c r="AA15" i="17"/>
  <c r="I22" i="15" s="1"/>
  <c r="W15" i="17"/>
  <c r="H22" i="15" s="1"/>
  <c r="O15" i="17"/>
  <c r="F22" i="15" s="1"/>
  <c r="Q9" i="17"/>
  <c r="F18" i="15" s="1"/>
  <c r="F24" i="17"/>
  <c r="I9" i="17"/>
  <c r="D18" i="15" s="1"/>
  <c r="F15" i="17"/>
  <c r="F16" i="17" s="1"/>
  <c r="B24" i="17"/>
  <c r="E9" i="17"/>
  <c r="C18" i="15" s="1"/>
  <c r="E15" i="11"/>
  <c r="N21" i="17" s="1"/>
  <c r="N22" i="17" s="1"/>
  <c r="N25" i="17"/>
  <c r="F35" i="15" s="1"/>
  <c r="F36" i="15"/>
  <c r="AL10" i="13"/>
  <c r="K36" i="20" s="1"/>
  <c r="AO9" i="13"/>
  <c r="L13" i="15" s="1"/>
  <c r="M13" i="15" s="1"/>
  <c r="AH5" i="16"/>
  <c r="AK10" i="13"/>
  <c r="K14" i="15" s="1"/>
  <c r="AG5" i="16"/>
  <c r="AD7" i="16"/>
  <c r="Z9" i="16"/>
  <c r="AC7" i="16"/>
  <c r="V12" i="16"/>
  <c r="G45" i="20" s="1"/>
  <c r="Y9" i="16"/>
  <c r="H15" i="15" s="1"/>
  <c r="R5" i="17"/>
  <c r="U12" i="16"/>
  <c r="G16" i="15" s="1"/>
  <c r="M15" i="17"/>
  <c r="B15" i="17"/>
  <c r="A22" i="21" l="1"/>
  <c r="L21" i="21"/>
  <c r="B23" i="21" s="1"/>
  <c r="C19" i="15" s="1"/>
  <c r="B16" i="17"/>
  <c r="B20" i="17" s="1"/>
  <c r="E15" i="17"/>
  <c r="F37" i="15"/>
  <c r="R7" i="17"/>
  <c r="R10" i="17" s="1"/>
  <c r="U10" i="17" s="1"/>
  <c r="U5" i="17"/>
  <c r="Z12" i="16"/>
  <c r="H45" i="20" s="1"/>
  <c r="AC9" i="16"/>
  <c r="I15" i="15" s="1"/>
  <c r="AH7" i="16"/>
  <c r="AK5" i="16"/>
  <c r="AD9" i="16"/>
  <c r="AG7" i="16"/>
  <c r="V5" i="17"/>
  <c r="Y12" i="16"/>
  <c r="H16" i="15" s="1"/>
  <c r="AL5" i="16"/>
  <c r="AO10" i="13"/>
  <c r="L14" i="15" s="1"/>
  <c r="M14" i="15" s="1"/>
  <c r="E8" i="15"/>
  <c r="E21" i="15" s="1"/>
  <c r="J20" i="17"/>
  <c r="J17" i="17"/>
  <c r="J18" i="17" s="1"/>
  <c r="E24" i="15" s="1"/>
  <c r="Q15" i="17"/>
  <c r="N17" i="17"/>
  <c r="N18" i="17" s="1"/>
  <c r="F24" i="15" s="1"/>
  <c r="F17" i="17"/>
  <c r="F18" i="17" s="1"/>
  <c r="D24" i="15" s="1"/>
  <c r="I15" i="17"/>
  <c r="D16" i="11" l="1"/>
  <c r="E38" i="15"/>
  <c r="AL7" i="16"/>
  <c r="AO5" i="16"/>
  <c r="AD12" i="16"/>
  <c r="I45" i="20" s="1"/>
  <c r="AG9" i="16"/>
  <c r="J15" i="15" s="1"/>
  <c r="Z5" i="17"/>
  <c r="AC12" i="16"/>
  <c r="I16" i="15" s="1"/>
  <c r="V7" i="17"/>
  <c r="V10" i="17" s="1"/>
  <c r="Y10" i="17" s="1"/>
  <c r="Y5" i="17"/>
  <c r="AH9" i="16"/>
  <c r="AK7" i="16"/>
  <c r="R9" i="17"/>
  <c r="U7" i="17"/>
  <c r="D8" i="15"/>
  <c r="D21" i="15" s="1"/>
  <c r="F20" i="17"/>
  <c r="C8" i="15"/>
  <c r="C21" i="15" s="1"/>
  <c r="B17" i="17"/>
  <c r="B18" i="17" s="1"/>
  <c r="C24" i="15" s="1"/>
  <c r="R24" i="17" l="1"/>
  <c r="U9" i="17"/>
  <c r="G18" i="15" s="1"/>
  <c r="R15" i="17"/>
  <c r="D15" i="11"/>
  <c r="J21" i="17" s="1"/>
  <c r="J22" i="17" s="1"/>
  <c r="J25" i="17"/>
  <c r="E35" i="15" s="1"/>
  <c r="E36" i="15"/>
  <c r="B16" i="11"/>
  <c r="C38" i="15"/>
  <c r="C16" i="11"/>
  <c r="D38" i="15"/>
  <c r="R16" i="17"/>
  <c r="V9" i="17"/>
  <c r="Y7" i="17"/>
  <c r="AG12" i="16"/>
  <c r="J16" i="15" s="1"/>
  <c r="AD5" i="17"/>
  <c r="AH12" i="16"/>
  <c r="J45" i="20" s="1"/>
  <c r="AK9" i="16"/>
  <c r="K15" i="15" s="1"/>
  <c r="Z7" i="17"/>
  <c r="Z10" i="17" s="1"/>
  <c r="AC10" i="17" s="1"/>
  <c r="AC5" i="17"/>
  <c r="AL9" i="16"/>
  <c r="AO7" i="16"/>
  <c r="V24" i="17" l="1"/>
  <c r="V15" i="17"/>
  <c r="Y9" i="17"/>
  <c r="H18" i="15" s="1"/>
  <c r="E37" i="15"/>
  <c r="B15" i="11"/>
  <c r="B21" i="17" s="1"/>
  <c r="B22" i="17" s="1"/>
  <c r="B25" i="17"/>
  <c r="C35" i="15" s="1"/>
  <c r="C15" i="11"/>
  <c r="F21" i="17" s="1"/>
  <c r="F22" i="17" s="1"/>
  <c r="F25" i="17"/>
  <c r="D35" i="15" s="1"/>
  <c r="C36" i="15"/>
  <c r="D36" i="15"/>
  <c r="AL12" i="16"/>
  <c r="K45" i="20" s="1"/>
  <c r="AO9" i="16"/>
  <c r="L15" i="15" s="1"/>
  <c r="M15" i="15" s="1"/>
  <c r="AH5" i="17"/>
  <c r="AK12" i="16"/>
  <c r="K16" i="15" s="1"/>
  <c r="V16" i="17"/>
  <c r="AG5" i="17"/>
  <c r="AD7" i="17"/>
  <c r="AD10" i="17" s="1"/>
  <c r="AG10" i="17" s="1"/>
  <c r="Z9" i="17"/>
  <c r="AC7" i="17"/>
  <c r="R17" i="17"/>
  <c r="R18" i="17" s="1"/>
  <c r="G24" i="15" s="1"/>
  <c r="U15" i="17"/>
  <c r="Z24" i="17" l="1"/>
  <c r="AC9" i="17"/>
  <c r="I18" i="15" s="1"/>
  <c r="Z15" i="17"/>
  <c r="Z16" i="17" s="1"/>
  <c r="D37" i="15"/>
  <c r="C37" i="15"/>
  <c r="AK5" i="17"/>
  <c r="AH7" i="17"/>
  <c r="AH10" i="17" s="1"/>
  <c r="AK10" i="17" s="1"/>
  <c r="AG7" i="17"/>
  <c r="AD9" i="17"/>
  <c r="G8" i="15"/>
  <c r="G21" i="15" s="1"/>
  <c r="R20" i="17"/>
  <c r="V17" i="17"/>
  <c r="V18" i="17" s="1"/>
  <c r="H24" i="15" s="1"/>
  <c r="Y15" i="17"/>
  <c r="AL5" i="17"/>
  <c r="AO12" i="16"/>
  <c r="L16" i="15" s="1"/>
  <c r="M16" i="15" s="1"/>
  <c r="AD24" i="17" l="1"/>
  <c r="AG9" i="17"/>
  <c r="J18" i="15" s="1"/>
  <c r="AD15" i="17"/>
  <c r="AD16" i="17" s="1"/>
  <c r="F16" i="11"/>
  <c r="G38" i="15"/>
  <c r="AC15" i="17"/>
  <c r="AL7" i="17"/>
  <c r="AL10" i="17" s="1"/>
  <c r="AO10" i="17" s="1"/>
  <c r="AO5" i="17"/>
  <c r="AH9" i="17"/>
  <c r="AK7" i="17"/>
  <c r="H8" i="15"/>
  <c r="H21" i="15" s="1"/>
  <c r="V20" i="17"/>
  <c r="AH24" i="17" l="1"/>
  <c r="AK9" i="17"/>
  <c r="K18" i="15" s="1"/>
  <c r="AH15" i="17"/>
  <c r="AH16" i="17" s="1"/>
  <c r="F15" i="11"/>
  <c r="R21" i="17" s="1"/>
  <c r="R22" i="17" s="1"/>
  <c r="R25" i="17"/>
  <c r="G35" i="15" s="1"/>
  <c r="G36" i="15"/>
  <c r="G16" i="11"/>
  <c r="H38" i="15"/>
  <c r="Z17" i="17"/>
  <c r="Z18" i="17" s="1"/>
  <c r="I24" i="15" s="1"/>
  <c r="Z20" i="17"/>
  <c r="I8" i="15"/>
  <c r="I21" i="15" s="1"/>
  <c r="AG15" i="17"/>
  <c r="AL9" i="17"/>
  <c r="AO7" i="17"/>
  <c r="AL24" i="17" l="1"/>
  <c r="AO9" i="17"/>
  <c r="L18" i="15" s="1"/>
  <c r="M18" i="15" s="1"/>
  <c r="AL15" i="17"/>
  <c r="AL16" i="17" s="1"/>
  <c r="G37" i="15"/>
  <c r="H36" i="15"/>
  <c r="V25" i="17"/>
  <c r="H35" i="15" s="1"/>
  <c r="G15" i="11"/>
  <c r="V21" i="17" s="1"/>
  <c r="H16" i="11"/>
  <c r="I38" i="15"/>
  <c r="AD20" i="17"/>
  <c r="AD17" i="17"/>
  <c r="AD18" i="17" s="1"/>
  <c r="J24" i="15" s="1"/>
  <c r="J8" i="15"/>
  <c r="J21" i="15" s="1"/>
  <c r="AK15" i="17"/>
  <c r="H37" i="15" l="1"/>
  <c r="I36" i="15"/>
  <c r="Z25" i="17"/>
  <c r="I35" i="15" s="1"/>
  <c r="V22" i="17"/>
  <c r="H15" i="11"/>
  <c r="Z21" i="17" s="1"/>
  <c r="I16" i="11"/>
  <c r="J38" i="15"/>
  <c r="AH17" i="17"/>
  <c r="AH18" i="17" s="1"/>
  <c r="K24" i="15" s="1"/>
  <c r="AH20" i="17"/>
  <c r="K8" i="15"/>
  <c r="K21" i="15" s="1"/>
  <c r="M17" i="15"/>
  <c r="AO15" i="17"/>
  <c r="I37" i="15" l="1"/>
  <c r="I15" i="11"/>
  <c r="AD21" i="17" s="1"/>
  <c r="AD22" i="17" s="1"/>
  <c r="AD25" i="17"/>
  <c r="J35" i="15" s="1"/>
  <c r="Z22" i="17"/>
  <c r="J36" i="15"/>
  <c r="J16" i="11"/>
  <c r="K38" i="15"/>
  <c r="AL17" i="17"/>
  <c r="AL18" i="17" s="1"/>
  <c r="L24" i="15" s="1"/>
  <c r="L8" i="15"/>
  <c r="L21" i="15" s="1"/>
  <c r="AL20" i="17"/>
  <c r="J37" i="15" l="1"/>
  <c r="J15" i="11"/>
  <c r="AH21" i="17" s="1"/>
  <c r="AH22" i="17" s="1"/>
  <c r="AH25" i="17"/>
  <c r="K35" i="15" s="1"/>
  <c r="K36" i="15"/>
  <c r="K16" i="11"/>
  <c r="L38" i="15"/>
  <c r="M24" i="15"/>
  <c r="K37" i="15" l="1"/>
  <c r="L16" i="11"/>
  <c r="AL25" i="17"/>
  <c r="L35" i="15" s="1"/>
  <c r="K15" i="11"/>
  <c r="AL21" i="17" s="1"/>
  <c r="L36" i="15"/>
  <c r="M36" i="15" s="1"/>
  <c r="L37" i="15" l="1"/>
  <c r="AL22" i="17"/>
  <c r="L15" i="11"/>
  <c r="H30" i="15" s="1"/>
  <c r="H29" i="15" s="1"/>
  <c r="H31" i="15" l="1"/>
  <c r="K30" i="15"/>
  <c r="M35" i="15"/>
  <c r="B39" i="15" s="1"/>
  <c r="B10" i="15" s="1"/>
</calcChain>
</file>

<file path=xl/sharedStrings.xml><?xml version="1.0" encoding="utf-8"?>
<sst xmlns="http://schemas.openxmlformats.org/spreadsheetml/2006/main" count="484" uniqueCount="171">
  <si>
    <t>Total</t>
  </si>
  <si>
    <t>WFDT</t>
  </si>
  <si>
    <t xml:space="preserve">WFDT </t>
  </si>
  <si>
    <t>Acquisition Date</t>
  </si>
  <si>
    <t>WAT</t>
  </si>
  <si>
    <t>Scheme Consideration</t>
  </si>
  <si>
    <t>URW Share Price (AUD)</t>
  </si>
  <si>
    <t>Exchange Ratio</t>
  </si>
  <si>
    <t>Value of Scrip Consideration</t>
  </si>
  <si>
    <t>USD Cash</t>
  </si>
  <si>
    <t>Cash in AUD</t>
  </si>
  <si>
    <t>Start Date</t>
  </si>
  <si>
    <t>End Date</t>
  </si>
  <si>
    <t>WCL</t>
  </si>
  <si>
    <t>WHL</t>
  </si>
  <si>
    <t>WT</t>
  </si>
  <si>
    <t>Single</t>
  </si>
  <si>
    <t>Tranche #</t>
  </si>
  <si>
    <t>Units in WFD</t>
  </si>
  <si>
    <t>Total CDIs</t>
  </si>
  <si>
    <t>Partial Unibail Shares</t>
  </si>
  <si>
    <t>Full Unibail Shares</t>
  </si>
  <si>
    <t>Westfield Net Tangible Assets (2010 to 2014)</t>
  </si>
  <si>
    <t>Westfield Net Tangible Assets (2014 to 2018)</t>
  </si>
  <si>
    <t>Westfield Net Tangible Assets (2004 to 2010)</t>
  </si>
  <si>
    <t>Cum.</t>
  </si>
  <si>
    <t>Westfield Deferred Tax Distributions (2014 to 2018)</t>
  </si>
  <si>
    <t>Westfield Deferred Tax Distributions (2010 to 2014)</t>
  </si>
  <si>
    <t>Westfield Deferred Tax Distributions (2004 to 2010)</t>
  </si>
  <si>
    <t>Dutch Coy % (BI)</t>
  </si>
  <si>
    <t>French Coy % (Unibail)</t>
  </si>
  <si>
    <t>This worksheet calculates your cost base for shares purchased between 17 July 2004 and 20 December 2010</t>
  </si>
  <si>
    <t>Tranche 1</t>
  </si>
  <si>
    <t>AUD/USD</t>
  </si>
  <si>
    <t>New Cost Base</t>
  </si>
  <si>
    <t>Capital Proceeds</t>
  </si>
  <si>
    <t>Tranche 2</t>
  </si>
  <si>
    <t>Tranche 3</t>
  </si>
  <si>
    <t>Total Purchase Price</t>
  </si>
  <si>
    <t>This sheet should calculate number of CDIs that you get if listed under the same name and TFN.</t>
  </si>
  <si>
    <t>Unibail Shares</t>
  </si>
  <si>
    <t>*As CDIs are allocated at the investor level, the CDIs per tranche will change until you finalise all tranches.</t>
  </si>
  <si>
    <t>Tax Deferred Amounts until 20 December 2010</t>
  </si>
  <si>
    <t>Calculated cost base per unit</t>
  </si>
  <si>
    <t>Carry over/Manual Entry per unit</t>
  </si>
  <si>
    <t>Cost base just before 2010 Restructure</t>
  </si>
  <si>
    <t>Cost base just after 2010 Restructure</t>
  </si>
  <si>
    <t>Cost Base just prior the 2010 Restructure</t>
  </si>
  <si>
    <t>Cost Base just after the 2010 Restructure</t>
  </si>
  <si>
    <t>Cost Base just after the 2014 Restructure</t>
  </si>
  <si>
    <t>Starting cost base</t>
  </si>
  <si>
    <t>This worksheet calculates your cost base for shares purchased between 20 December 2010 and 24 June 2014</t>
  </si>
  <si>
    <t>Tax Deferred Amounts until 24 June 2014</t>
  </si>
  <si>
    <t>Cost base just before 2014 Restructure</t>
  </si>
  <si>
    <t>Cost base just after 2014 Restructure (per unit)</t>
  </si>
  <si>
    <t>Tax Deferred Amounts until 8 June 2018</t>
  </si>
  <si>
    <t>2018 Restructure Event</t>
  </si>
  <si>
    <t>Capital Gain / Loss</t>
  </si>
  <si>
    <t>Scheme Consideration ($) override</t>
  </si>
  <si>
    <t>Purchase Price per unit (incl. transaction costs)</t>
  </si>
  <si>
    <t>Number of One Market Units</t>
  </si>
  <si>
    <t>Cost Base per One Market Unit</t>
  </si>
  <si>
    <t>Yes</t>
  </si>
  <si>
    <t>No</t>
  </si>
  <si>
    <t>Number of Stapled Securities</t>
  </si>
  <si>
    <t>OneMarket Cost Base</t>
  </si>
  <si>
    <t>Gain/Loss per unit before roll-overs</t>
  </si>
  <si>
    <t>Cost base per CDI</t>
  </si>
  <si>
    <t>CGT Roll-over Percentage</t>
  </si>
  <si>
    <t>CGT Gain/Loss per unit</t>
  </si>
  <si>
    <t>CGT Gain/Loss total</t>
  </si>
  <si>
    <t>Manual Entry per unit</t>
  </si>
  <si>
    <t>Tranche 4</t>
  </si>
  <si>
    <t>Tranche 5</t>
  </si>
  <si>
    <t>Tranche 6</t>
  </si>
  <si>
    <t>Tranche 7</t>
  </si>
  <si>
    <t>Tranche 8</t>
  </si>
  <si>
    <t>Tranche 9</t>
  </si>
  <si>
    <t>Tranche 10</t>
  </si>
  <si>
    <t>This worksheet calculates your cost base for shares purchased between 24 June 2014 and the 2018 Restructure Event</t>
  </si>
  <si>
    <t>Roll-Over Amount</t>
  </si>
  <si>
    <t>Non-Roll Over Amount</t>
  </si>
  <si>
    <t>Total Cost Base</t>
  </si>
  <si>
    <t>Cash</t>
  </si>
  <si>
    <t>Unibail</t>
  </si>
  <si>
    <t>NewCo</t>
  </si>
  <si>
    <t>CDI VWAP</t>
  </si>
  <si>
    <t>Proceeds, as per the ATO Fact Sheet</t>
  </si>
  <si>
    <t>Drop-down Menu</t>
  </si>
  <si>
    <t>Tranche</t>
  </si>
  <si>
    <t>Cost base per unit at acquisition/start of period</t>
  </si>
  <si>
    <t>Acq. Date</t>
  </si>
  <si>
    <r>
      <t xml:space="preserve">Elect roll-over?
</t>
    </r>
    <r>
      <rPr>
        <b/>
        <sz val="11"/>
        <color theme="1"/>
        <rFont val="Calibri"/>
        <family val="2"/>
        <scheme val="minor"/>
      </rPr>
      <t>If you would like CGT Roll-over, select this option on the first sheet.</t>
    </r>
  </si>
  <si>
    <t>Cost Base just prior the 2014 Restructure</t>
  </si>
  <si>
    <t>CGT Discount Date</t>
  </si>
  <si>
    <t>CDI Cost (Mult)</t>
  </si>
  <si>
    <t>WAT Cash</t>
  </si>
  <si>
    <t>WFDT Cash</t>
  </si>
  <si>
    <t>Dividend x 20</t>
  </si>
  <si>
    <t>Pay Date</t>
  </si>
  <si>
    <t>None</t>
  </si>
  <si>
    <t>Parcel Number</t>
  </si>
  <si>
    <t>Step 1 Allocation</t>
  </si>
  <si>
    <t>MOD</t>
  </si>
  <si>
    <t>Rank</t>
  </si>
  <si>
    <t>Final Allocation</t>
  </si>
  <si>
    <t>CDIs in Tranche</t>
  </si>
  <si>
    <t>CDIs w/ No Roll-over</t>
  </si>
  <si>
    <t>CDI Cost (Add)</t>
  </si>
  <si>
    <t>No CGT Roll-over</t>
  </si>
  <si>
    <t>CGT Roll-over</t>
  </si>
  <si>
    <t>Logic for 2010 Override</t>
  </si>
  <si>
    <t>Logic for 2014 Override</t>
  </si>
  <si>
    <t>Error Checking</t>
  </si>
  <si>
    <t>First Date</t>
  </si>
  <si>
    <t>Last Date</t>
  </si>
  <si>
    <t>Date before 16/07/2004</t>
  </si>
  <si>
    <t>Date Mod</t>
  </si>
  <si>
    <t>Date Blank</t>
  </si>
  <si>
    <t>Date Message</t>
  </si>
  <si>
    <t>Stapled # Negative</t>
  </si>
  <si>
    <t>Stapled # Mod</t>
  </si>
  <si>
    <t>Stapled # Message</t>
  </si>
  <si>
    <t>Purchase Negative</t>
  </si>
  <si>
    <t>Purchase Message</t>
  </si>
  <si>
    <t>Manual Input</t>
  </si>
  <si>
    <t>Date too early</t>
  </si>
  <si>
    <t>Date too late</t>
  </si>
  <si>
    <t>All Entries</t>
  </si>
  <si>
    <t>Total Message</t>
  </si>
  <si>
    <t>Manual Input Message</t>
  </si>
  <si>
    <t>Manual or Automatic</t>
  </si>
  <si>
    <t>Cost Base</t>
  </si>
  <si>
    <t>Manual Cost Base</t>
  </si>
  <si>
    <t>WFT</t>
  </si>
  <si>
    <t>Cost base if you sold from 11/08/2017 to 12/02/2018</t>
  </si>
  <si>
    <t>Elect CGT Roll-over for your WCL shares?</t>
  </si>
  <si>
    <t>Cost base if you sold from 13/02/2018 to 7/06/2018</t>
  </si>
  <si>
    <t>Minimum Holder (&lt;=)</t>
  </si>
  <si>
    <t>WCL Divisor</t>
  </si>
  <si>
    <t>WCL Add</t>
  </si>
  <si>
    <t>Fact Sheet CDI Cost Base</t>
  </si>
  <si>
    <t>Total Rolled Cost Base</t>
  </si>
  <si>
    <t>Does roll-over apply?</t>
  </si>
  <si>
    <t>Westfield stapled securities cost base information</t>
  </si>
  <si>
    <t>CGT gains/losses on Westfield stapled securities</t>
  </si>
  <si>
    <t>CGT gain/loss for WCL shares</t>
  </si>
  <si>
    <t>CGT gain/loss for WFDT units</t>
  </si>
  <si>
    <t>CGT gain/loss for WAT units</t>
  </si>
  <si>
    <t>Unibail-Rodamco CDIs (without CGT Roll-over)</t>
  </si>
  <si>
    <t>Unibail-Rodamco CDIs (with CGT Roll-over)</t>
  </si>
  <si>
    <t>Acquisition date</t>
  </si>
  <si>
    <t>Number of CDIs</t>
  </si>
  <si>
    <t>Please retain the following cost base information for your OneMarket shares and Unibail-Rodamco CDIs</t>
  </si>
  <si>
    <t>OneMarket shares</t>
  </si>
  <si>
    <t>Total CGT gains/losses (before any CGT discount)</t>
  </si>
  <si>
    <t>This sheet allows you to manually enter cost base information immediately after the 2004, 2010 and 2014 restructure events.</t>
  </si>
  <si>
    <t>Cost base just after the 2004 Restructure</t>
  </si>
  <si>
    <t>Cost base just after the 2010 Restructure</t>
  </si>
  <si>
    <t>Cost base just after the 2014 Restructure</t>
  </si>
  <si>
    <t>If you know your cost base on 16 July 2004, you can input it here. Ensure that the date entered in Summary Sheet is 16 July 2004.</t>
  </si>
  <si>
    <t>If you know your cost base on 20 December 2010, you can input it here. Ensure that the date entered in Summary Sheet is before 20 December 2010.</t>
  </si>
  <si>
    <t>If you know your cost base on 30 June 2014, you can input it here. Ensure that the date entered in Summary Sheet is before 30 June 2014.</t>
  </si>
  <si>
    <t>Acquisition Date (dd/mm/yyyy)</t>
  </si>
  <si>
    <t>Zero WFDT</t>
  </si>
  <si>
    <t>Zero WAT</t>
  </si>
  <si>
    <t>True Cost base just before 2018 Restructure</t>
  </si>
  <si>
    <t>True Cost base at August 2017</t>
  </si>
  <si>
    <t>Name</t>
  </si>
  <si>
    <t>Manual Input sheet for Westfield 2018 Calculator v1.27 (12 July 2018)</t>
  </si>
  <si>
    <t>Westfield 2018 Calculator v1.27 (12 July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</si>
</sst>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8" formatCode="&quot;$&quot;#,##0.00;[Red]\-&quot;$&quot;#,##0.00"/>
    <numFmt numFmtId="43" formatCode="_-* #,##0.00_-;\-* #,##0.00_-;_-* &quot;-&quot;??_-;_-@_-"/>
    <numFmt numFmtId="164" formatCode="0.0000"/>
    <numFmt numFmtId="165" formatCode="0.000"/>
    <numFmt numFmtId="166" formatCode="0.0%"/>
    <numFmt numFmtId="167" formatCode="0.0000000"/>
    <numFmt numFmtId="168" formatCode="[$-C09]dd\-mmm\-yy;@"/>
    <numFmt numFmtId="169" formatCode="0.00000"/>
    <numFmt numFmtId="170" formatCode="0;\-0;;@"/>
    <numFmt numFmtId="171" formatCode="0.00;\-0;;@"/>
    <numFmt numFmtId="172" formatCode="0.00;\-0.00;;@"/>
    <numFmt numFmtId="173" formatCode="0.000_ ;\-0.000\ "/>
    <numFmt numFmtId="174" formatCode="#,##0.00_ ;\-#,##0.00\ "/>
    <numFmt numFmtId="175" formatCode="0.000000"/>
    <numFmt numFmtId="176" formatCode="#,##0.0000"/>
    <numFmt numFmtId="177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0" fillId="0" borderId="0" xfId="0" applyFont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15" fontId="0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10" fontId="0" fillId="0" borderId="5" xfId="0" applyNumberFormat="1" applyFont="1" applyFill="1" applyBorder="1" applyAlignment="1">
      <alignment horizontal="center"/>
    </xf>
    <xf numFmtId="15" fontId="0" fillId="0" borderId="6" xfId="0" applyNumberFormat="1" applyFill="1" applyBorder="1" applyAlignment="1">
      <alignment horizontal="center"/>
    </xf>
    <xf numFmtId="15" fontId="0" fillId="0" borderId="7" xfId="0" applyNumberFormat="1" applyFont="1" applyFill="1" applyBorder="1" applyAlignment="1">
      <alignment horizontal="center"/>
    </xf>
    <xf numFmtId="10" fontId="0" fillId="0" borderId="7" xfId="0" applyNumberFormat="1" applyFont="1" applyFill="1" applyBorder="1" applyAlignment="1">
      <alignment horizontal="center"/>
    </xf>
    <xf numFmtId="10" fontId="0" fillId="0" borderId="8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0" fontId="0" fillId="0" borderId="0" xfId="0" applyNumberFormat="1" applyBorder="1"/>
    <xf numFmtId="0" fontId="0" fillId="0" borderId="8" xfId="0" applyBorder="1"/>
    <xf numFmtId="0" fontId="0" fillId="0" borderId="3" xfId="0" applyFont="1" applyFill="1" applyBorder="1" applyAlignment="1">
      <alignment horizontal="center" vertical="center"/>
    </xf>
    <xf numFmtId="0" fontId="0" fillId="0" borderId="0" xfId="0"/>
    <xf numFmtId="10" fontId="0" fillId="0" borderId="0" xfId="1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7" xfId="0" applyBorder="1"/>
    <xf numFmtId="0" fontId="0" fillId="0" borderId="3" xfId="0" applyFont="1" applyFill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5" fontId="0" fillId="0" borderId="6" xfId="0" applyNumberFormat="1" applyFont="1" applyFill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10" fontId="0" fillId="0" borderId="7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/>
    </xf>
    <xf numFmtId="15" fontId="0" fillId="0" borderId="4" xfId="0" applyNumberFormat="1" applyFill="1" applyBorder="1" applyAlignment="1">
      <alignment horizontal="center"/>
    </xf>
    <xf numFmtId="15" fontId="0" fillId="0" borderId="7" xfId="0" applyNumberForma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ill="1" applyBorder="1"/>
    <xf numFmtId="0" fontId="2" fillId="0" borderId="4" xfId="0" applyFont="1" applyBorder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Fill="1" applyBorder="1"/>
    <xf numFmtId="8" fontId="0" fillId="0" borderId="0" xfId="0" applyNumberFormat="1" applyBorder="1"/>
    <xf numFmtId="164" fontId="0" fillId="0" borderId="0" xfId="0" applyNumberFormat="1"/>
    <xf numFmtId="0" fontId="0" fillId="0" borderId="6" xfId="0" applyFill="1" applyBorder="1"/>
    <xf numFmtId="165" fontId="0" fillId="0" borderId="1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2" fontId="0" fillId="0" borderId="0" xfId="0" applyNumberFormat="1" applyBorder="1"/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64" fontId="0" fillId="0" borderId="0" xfId="0" applyNumberFormat="1" applyBorder="1"/>
    <xf numFmtId="2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6" borderId="0" xfId="0" applyFill="1"/>
    <xf numFmtId="3" fontId="0" fillId="6" borderId="0" xfId="2" applyNumberFormat="1" applyFont="1" applyFill="1" applyAlignment="1">
      <alignment horizontal="center" vertical="center"/>
    </xf>
    <xf numFmtId="10" fontId="0" fillId="6" borderId="0" xfId="1" applyNumberFormat="1" applyFont="1" applyFill="1" applyAlignment="1">
      <alignment horizontal="center" vertical="center"/>
    </xf>
    <xf numFmtId="9" fontId="0" fillId="6" borderId="0" xfId="1" applyNumberFormat="1" applyFon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0" borderId="17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4" fontId="0" fillId="0" borderId="0" xfId="0" applyNumberFormat="1"/>
    <xf numFmtId="164" fontId="0" fillId="0" borderId="17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  <xf numFmtId="0" fontId="0" fillId="5" borderId="0" xfId="0" applyFill="1" applyAlignment="1" applyProtection="1">
      <alignment horizontal="center"/>
      <protection locked="0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2" fontId="0" fillId="0" borderId="1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165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0" fontId="0" fillId="4" borderId="0" xfId="1" applyNumberFormat="1" applyFont="1" applyFill="1" applyBorder="1"/>
    <xf numFmtId="164" fontId="0" fillId="4" borderId="0" xfId="0" applyNumberFormat="1" applyFill="1" applyBorder="1"/>
    <xf numFmtId="164" fontId="0" fillId="4" borderId="0" xfId="0" applyNumberFormat="1" applyFill="1"/>
    <xf numFmtId="0" fontId="0" fillId="0" borderId="4" xfId="0" applyFont="1" applyFill="1" applyBorder="1"/>
    <xf numFmtId="0" fontId="2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167" fontId="0" fillId="4" borderId="0" xfId="0" applyNumberFormat="1" applyFill="1" applyBorder="1"/>
    <xf numFmtId="164" fontId="0" fillId="4" borderId="5" xfId="0" applyNumberFormat="1" applyFill="1" applyBorder="1"/>
    <xf numFmtId="0" fontId="0" fillId="4" borderId="6" xfId="0" applyFill="1" applyBorder="1"/>
    <xf numFmtId="0" fontId="0" fillId="4" borderId="7" xfId="0" applyFill="1" applyBorder="1"/>
    <xf numFmtId="164" fontId="0" fillId="4" borderId="7" xfId="0" applyNumberFormat="1" applyFill="1" applyBorder="1"/>
    <xf numFmtId="164" fontId="0" fillId="4" borderId="8" xfId="0" applyNumberFormat="1" applyFill="1" applyBorder="1"/>
    <xf numFmtId="0" fontId="0" fillId="4" borderId="1" xfId="0" applyFill="1" applyBorder="1"/>
    <xf numFmtId="0" fontId="0" fillId="4" borderId="8" xfId="0" applyFill="1" applyBorder="1"/>
    <xf numFmtId="10" fontId="0" fillId="4" borderId="0" xfId="0" applyNumberFormat="1" applyFill="1" applyBorder="1"/>
    <xf numFmtId="14" fontId="0" fillId="4" borderId="0" xfId="0" applyNumberForma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0" borderId="0" xfId="0" applyFill="1"/>
    <xf numFmtId="10" fontId="0" fillId="4" borderId="0" xfId="1" applyNumberFormat="1" applyFont="1" applyFill="1"/>
    <xf numFmtId="10" fontId="0" fillId="0" borderId="5" xfId="0" applyNumberFormat="1" applyFont="1" applyFill="1" applyBorder="1" applyAlignment="1">
      <alignment horizontal="center" vertical="center"/>
    </xf>
    <xf numFmtId="2" fontId="0" fillId="6" borderId="0" xfId="0" applyNumberFormat="1" applyFill="1" applyAlignment="1"/>
    <xf numFmtId="0" fontId="0" fillId="6" borderId="0" xfId="0" applyFill="1" applyAlignment="1"/>
    <xf numFmtId="0" fontId="0" fillId="6" borderId="11" xfId="0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3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Protection="1"/>
    <xf numFmtId="0" fontId="2" fillId="0" borderId="0" xfId="0" applyFont="1" applyProtection="1"/>
    <xf numFmtId="169" fontId="0" fillId="4" borderId="0" xfId="0" applyNumberFormat="1" applyFill="1" applyBorder="1"/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0" fillId="6" borderId="0" xfId="2" applyNumberFormat="1" applyFon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175" fontId="0" fillId="0" borderId="0" xfId="0" applyNumberFormat="1"/>
    <xf numFmtId="175" fontId="0" fillId="4" borderId="0" xfId="0" applyNumberFormat="1" applyFill="1" applyBorder="1"/>
    <xf numFmtId="14" fontId="0" fillId="6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69" fontId="0" fillId="6" borderId="0" xfId="0" applyNumberForma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/>
    <xf numFmtId="0" fontId="0" fillId="6" borderId="0" xfId="0" applyFill="1" applyAlignment="1" applyProtection="1">
      <alignment horizontal="center"/>
    </xf>
    <xf numFmtId="1" fontId="0" fillId="0" borderId="0" xfId="0" applyNumberFormat="1"/>
    <xf numFmtId="0" fontId="0" fillId="6" borderId="0" xfId="0" applyFill="1" applyAlignment="1">
      <alignment horizontal="center" vertical="center"/>
    </xf>
    <xf numFmtId="0" fontId="0" fillId="0" borderId="0" xfId="0" applyFill="1" applyProtection="1">
      <protection locked="0"/>
    </xf>
    <xf numFmtId="167" fontId="0" fillId="0" borderId="0" xfId="0" applyNumberFormat="1" applyBorder="1"/>
    <xf numFmtId="0" fontId="2" fillId="0" borderId="0" xfId="0" applyFont="1" applyBorder="1"/>
    <xf numFmtId="164" fontId="0" fillId="0" borderId="0" xfId="0" applyNumberFormat="1" applyFill="1" applyBorder="1"/>
    <xf numFmtId="0" fontId="3" fillId="0" borderId="0" xfId="0" applyFont="1" applyProtection="1"/>
    <xf numFmtId="0" fontId="3" fillId="6" borderId="0" xfId="0" applyFont="1" applyFill="1" applyAlignment="1" applyProtection="1">
      <alignment horizontal="center" vertical="center"/>
    </xf>
    <xf numFmtId="168" fontId="3" fillId="5" borderId="0" xfId="0" applyNumberFormat="1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center" vertical="center"/>
      <protection locked="0"/>
    </xf>
    <xf numFmtId="164" fontId="3" fillId="5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</xf>
    <xf numFmtId="2" fontId="3" fillId="5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6" fillId="0" borderId="0" xfId="0" applyFont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6" fillId="0" borderId="1" xfId="0" applyFont="1" applyBorder="1" applyProtection="1"/>
    <xf numFmtId="166" fontId="3" fillId="0" borderId="2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Fill="1" applyBorder="1" applyAlignment="1" applyProtection="1">
      <alignment vertical="center"/>
    </xf>
    <xf numFmtId="4" fontId="3" fillId="6" borderId="5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/>
    <xf numFmtId="0" fontId="3" fillId="0" borderId="6" xfId="0" applyFont="1" applyBorder="1" applyProtection="1"/>
    <xf numFmtId="15" fontId="3" fillId="6" borderId="8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Protection="1"/>
    <xf numFmtId="0" fontId="6" fillId="0" borderId="4" xfId="0" applyFont="1" applyBorder="1" applyProtection="1"/>
    <xf numFmtId="174" fontId="3" fillId="6" borderId="0" xfId="0" applyNumberFormat="1" applyFont="1" applyFill="1" applyBorder="1" applyAlignment="1" applyProtection="1">
      <alignment horizontal="center" vertical="center"/>
    </xf>
    <xf numFmtId="168" fontId="3" fillId="6" borderId="7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6" fillId="6" borderId="21" xfId="0" applyNumberFormat="1" applyFont="1" applyFill="1" applyBorder="1" applyAlignment="1" applyProtection="1">
      <alignment horizontal="center" vertical="center"/>
    </xf>
    <xf numFmtId="0" fontId="3" fillId="0" borderId="0" xfId="0" applyFont="1" applyBorder="1"/>
    <xf numFmtId="0" fontId="8" fillId="0" borderId="6" xfId="0" applyFont="1" applyBorder="1" applyProtection="1"/>
    <xf numFmtId="0" fontId="7" fillId="0" borderId="0" xfId="0" applyFont="1"/>
    <xf numFmtId="2" fontId="3" fillId="6" borderId="5" xfId="0" applyNumberFormat="1" applyFont="1" applyFill="1" applyBorder="1" applyAlignment="1" applyProtection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3" fillId="6" borderId="0" xfId="0" applyFont="1" applyFill="1" applyBorder="1" applyAlignment="1" applyProtection="1">
      <alignment horizontal="center"/>
    </xf>
    <xf numFmtId="170" fontId="3" fillId="0" borderId="0" xfId="0" applyNumberFormat="1" applyFont="1" applyFill="1" applyBorder="1" applyAlignment="1" applyProtection="1">
      <alignment horizontal="center" vertical="center"/>
    </xf>
    <xf numFmtId="172" fontId="3" fillId="0" borderId="0" xfId="0" applyNumberFormat="1" applyFont="1" applyFill="1" applyBorder="1" applyAlignment="1" applyProtection="1">
      <alignment horizontal="center" vertical="center"/>
    </xf>
    <xf numFmtId="171" fontId="3" fillId="0" borderId="0" xfId="0" applyNumberFormat="1" applyFont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" fontId="6" fillId="6" borderId="0" xfId="0" applyNumberFormat="1" applyFont="1" applyFill="1" applyAlignment="1" applyProtection="1">
      <alignment horizontal="center" vertical="center"/>
    </xf>
    <xf numFmtId="2" fontId="3" fillId="8" borderId="0" xfId="0" applyNumberFormat="1" applyFont="1" applyFill="1" applyAlignment="1" applyProtection="1">
      <alignment horizontal="center" vertical="center"/>
    </xf>
    <xf numFmtId="2" fontId="3" fillId="8" borderId="9" xfId="0" applyNumberFormat="1" applyFont="1" applyFill="1" applyBorder="1" applyAlignment="1" applyProtection="1">
      <alignment horizontal="center" vertical="center"/>
    </xf>
    <xf numFmtId="4" fontId="3" fillId="8" borderId="0" xfId="0" applyNumberFormat="1" applyFont="1" applyFill="1" applyAlignment="1" applyProtection="1">
      <alignment horizontal="center" vertical="center"/>
    </xf>
    <xf numFmtId="4" fontId="3" fillId="8" borderId="9" xfId="0" applyNumberFormat="1" applyFont="1" applyFill="1" applyBorder="1" applyAlignment="1" applyProtection="1">
      <alignment horizontal="center" vertical="center"/>
    </xf>
    <xf numFmtId="4" fontId="3" fillId="8" borderId="0" xfId="0" applyNumberFormat="1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171" fontId="10" fillId="8" borderId="0" xfId="0" applyNumberFormat="1" applyFont="1" applyFill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" xfId="0" applyFont="1" applyBorder="1" applyProtection="1"/>
    <xf numFmtId="165" fontId="3" fillId="6" borderId="5" xfId="0" applyNumberFormat="1" applyFont="1" applyFill="1" applyBorder="1" applyAlignment="1" applyProtection="1">
      <alignment horizontal="center" vertical="center"/>
    </xf>
    <xf numFmtId="164" fontId="3" fillId="6" borderId="0" xfId="0" applyNumberFormat="1" applyFont="1" applyFill="1" applyBorder="1" applyAlignment="1" applyProtection="1">
      <alignment horizontal="center" vertical="center"/>
    </xf>
    <xf numFmtId="164" fontId="3" fillId="6" borderId="5" xfId="0" applyNumberFormat="1" applyFont="1" applyFill="1" applyBorder="1" applyAlignment="1" applyProtection="1">
      <alignment horizontal="center" vertical="center"/>
    </xf>
    <xf numFmtId="177" fontId="3" fillId="6" borderId="0" xfId="0" applyNumberFormat="1" applyFont="1" applyFill="1" applyBorder="1" applyAlignment="1" applyProtection="1">
      <alignment horizontal="center" vertical="center"/>
    </xf>
    <xf numFmtId="3" fontId="3" fillId="6" borderId="0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3" fontId="6" fillId="6" borderId="5" xfId="0" applyNumberFormat="1" applyFont="1" applyFill="1" applyBorder="1" applyAlignment="1" applyProtection="1">
      <alignment horizontal="center" vertical="center"/>
    </xf>
    <xf numFmtId="3" fontId="6" fillId="6" borderId="0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Protection="1"/>
    <xf numFmtId="0" fontId="3" fillId="0" borderId="23" xfId="0" applyFont="1" applyBorder="1" applyProtection="1"/>
    <xf numFmtId="173" fontId="3" fillId="0" borderId="9" xfId="0" applyNumberFormat="1" applyFont="1" applyFill="1" applyBorder="1" applyAlignment="1" applyProtection="1">
      <alignment vertical="center"/>
    </xf>
    <xf numFmtId="2" fontId="3" fillId="0" borderId="9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center" vertical="center"/>
    </xf>
    <xf numFmtId="174" fontId="3" fillId="6" borderId="9" xfId="0" applyNumberFormat="1" applyFont="1" applyFill="1" applyBorder="1" applyAlignment="1" applyProtection="1">
      <alignment horizontal="center" vertical="center"/>
    </xf>
    <xf numFmtId="3" fontId="3" fillId="6" borderId="9" xfId="0" applyNumberFormat="1" applyFont="1" applyFill="1" applyBorder="1" applyAlignment="1" applyProtection="1">
      <alignment horizontal="center" vertical="center"/>
    </xf>
    <xf numFmtId="164" fontId="3" fillId="6" borderId="9" xfId="0" applyNumberFormat="1" applyFont="1" applyFill="1" applyBorder="1" applyAlignment="1" applyProtection="1">
      <alignment horizontal="center" vertical="center"/>
    </xf>
    <xf numFmtId="168" fontId="3" fillId="6" borderId="2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top"/>
    </xf>
    <xf numFmtId="0" fontId="11" fillId="0" borderId="0" xfId="0" applyFont="1" applyFill="1" applyProtection="1"/>
    <xf numFmtId="0" fontId="12" fillId="0" borderId="0" xfId="0" applyFont="1" applyProtection="1"/>
    <xf numFmtId="0" fontId="0" fillId="0" borderId="0" xfId="0" applyFill="1" applyAlignment="1" applyProtection="1">
      <alignment horizontal="center"/>
    </xf>
    <xf numFmtId="0" fontId="13" fillId="0" borderId="0" xfId="0" applyFont="1"/>
    <xf numFmtId="0" fontId="14" fillId="0" borderId="0" xfId="0" applyFont="1" applyProtection="1"/>
    <xf numFmtId="168" fontId="0" fillId="9" borderId="0" xfId="0" applyNumberFormat="1" applyFont="1" applyFill="1" applyAlignment="1" applyProtection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3" fillId="0" borderId="0" xfId="0" applyNumberFormat="1" applyFont="1" applyProtection="1"/>
    <xf numFmtId="2" fontId="0" fillId="0" borderId="0" xfId="0" applyNumberFormat="1"/>
    <xf numFmtId="2" fontId="15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22" fontId="5" fillId="0" borderId="4" xfId="0" applyNumberFormat="1" applyFont="1" applyBorder="1" applyProtection="1"/>
    <xf numFmtId="0" fontId="3" fillId="0" borderId="0" xfId="0" applyFont="1" applyAlignment="1" applyProtection="1">
      <alignment horizontal="right"/>
    </xf>
    <xf numFmtId="14" fontId="3" fillId="0" borderId="0" xfId="0" applyNumberFormat="1" applyFont="1" applyProtection="1"/>
    <xf numFmtId="22" fontId="16" fillId="0" borderId="0" xfId="0" applyNumberFormat="1" applyFont="1" applyProtection="1"/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 applyProtection="1"/>
    <xf numFmtId="2" fontId="11" fillId="0" borderId="0" xfId="0" applyNumberFormat="1" applyFont="1" applyFill="1" applyAlignment="1" applyProtection="1">
      <alignment horizontal="right"/>
    </xf>
    <xf numFmtId="2" fontId="3" fillId="5" borderId="0" xfId="0" applyNumberFormat="1" applyFont="1" applyFill="1" applyAlignment="1" applyProtection="1">
      <alignment horizontal="left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tabSelected="1" zoomScaleNormal="100" workbookViewId="0">
      <pane xSplit="2" ySplit="2" topLeftCell="C3" activePane="bottomRight" state="frozen"/>
      <selection sqref="A1:M1"/>
      <selection pane="topRight" sqref="A1:M1"/>
      <selection pane="bottomLeft" sqref="A1:M1"/>
      <selection pane="bottomRight" activeCell="C1" sqref="C1"/>
    </sheetView>
  </sheetViews>
  <sheetFormatPr defaultColWidth="0" defaultRowHeight="15" zeroHeight="1" x14ac:dyDescent="0.25"/>
  <cols>
    <col min="1" max="1" width="2" style="22" hidden="1" customWidth="1"/>
    <col min="2" max="2" width="41" style="22" customWidth="1"/>
    <col min="3" max="3" width="11.28515625" style="22" bestFit="1" customWidth="1"/>
    <col min="4" max="4" width="10.5703125" style="22" customWidth="1"/>
    <col min="5" max="5" width="11.140625" style="22" customWidth="1"/>
    <col min="6" max="6" width="10.85546875" style="22" bestFit="1" customWidth="1"/>
    <col min="7" max="7" width="11.7109375" style="22" customWidth="1"/>
    <col min="8" max="8" width="11.5703125" style="22" bestFit="1" customWidth="1"/>
    <col min="9" max="9" width="11.28515625" style="22" customWidth="1"/>
    <col min="10" max="10" width="10.85546875" style="22" bestFit="1" customWidth="1"/>
    <col min="11" max="11" width="11.85546875" style="22" customWidth="1"/>
    <col min="12" max="12" width="10.7109375" style="22" bestFit="1" customWidth="1"/>
    <col min="13" max="13" width="13.28515625" style="22" bestFit="1" customWidth="1"/>
    <col min="14" max="16384" width="9.140625" style="22" hidden="1"/>
  </cols>
  <sheetData>
    <row r="1" spans="1:13" x14ac:dyDescent="0.25">
      <c r="A1" s="152"/>
      <c r="B1" s="275" t="s">
        <v>168</v>
      </c>
      <c r="C1" s="308"/>
      <c r="E1" s="276"/>
      <c r="F1" s="275"/>
      <c r="G1" s="276"/>
      <c r="H1" s="281"/>
      <c r="J1" s="275"/>
      <c r="K1" s="275"/>
      <c r="L1" s="280" t="s">
        <v>170</v>
      </c>
      <c r="M1" s="282"/>
    </row>
    <row r="2" spans="1:13" x14ac:dyDescent="0.25">
      <c r="A2" s="152"/>
      <c r="B2" s="187" t="s">
        <v>101</v>
      </c>
      <c r="C2" s="188">
        <v>1</v>
      </c>
      <c r="D2" s="188">
        <v>2</v>
      </c>
      <c r="E2" s="188">
        <v>3</v>
      </c>
      <c r="F2" s="188">
        <v>4</v>
      </c>
      <c r="G2" s="188">
        <v>5</v>
      </c>
      <c r="H2" s="188">
        <v>6</v>
      </c>
      <c r="I2" s="188">
        <v>7</v>
      </c>
      <c r="J2" s="188">
        <v>8</v>
      </c>
      <c r="K2" s="188">
        <v>9</v>
      </c>
      <c r="L2" s="231">
        <v>10</v>
      </c>
      <c r="M2" s="227" t="s">
        <v>0</v>
      </c>
    </row>
    <row r="3" spans="1:13" x14ac:dyDescent="0.25">
      <c r="A3" s="152"/>
      <c r="B3" s="187" t="s">
        <v>163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228"/>
    </row>
    <row r="4" spans="1:13" x14ac:dyDescent="0.25">
      <c r="A4" s="152"/>
      <c r="B4" s="187" t="s">
        <v>64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248">
        <f>SUM(C4:L4)</f>
        <v>0</v>
      </c>
    </row>
    <row r="5" spans="1:13" x14ac:dyDescent="0.25">
      <c r="A5" s="152"/>
      <c r="B5" s="187" t="s">
        <v>59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229"/>
    </row>
    <row r="6" spans="1:13" x14ac:dyDescent="0.25">
      <c r="A6" s="152"/>
      <c r="B6" s="187" t="s">
        <v>38</v>
      </c>
      <c r="C6" s="238" t="str">
        <f>IF(C4*C5&gt;0,C4*C5,"")</f>
        <v/>
      </c>
      <c r="D6" s="238" t="str">
        <f t="shared" ref="D6:L6" si="0">IF(D4*D5&gt;0,D4*D5,"")</f>
        <v/>
      </c>
      <c r="E6" s="238" t="str">
        <f t="shared" si="0"/>
        <v/>
      </c>
      <c r="F6" s="238" t="str">
        <f t="shared" si="0"/>
        <v/>
      </c>
      <c r="G6" s="238" t="str">
        <f t="shared" si="0"/>
        <v/>
      </c>
      <c r="H6" s="238" t="str">
        <f t="shared" si="0"/>
        <v/>
      </c>
      <c r="I6" s="238" t="str">
        <f t="shared" si="0"/>
        <v/>
      </c>
      <c r="J6" s="238" t="str">
        <f t="shared" si="0"/>
        <v/>
      </c>
      <c r="K6" s="238" t="str">
        <f t="shared" si="0"/>
        <v/>
      </c>
      <c r="L6" s="239" t="str">
        <f t="shared" si="0"/>
        <v/>
      </c>
      <c r="M6" s="218">
        <f>SUM(C6:L6)</f>
        <v>0</v>
      </c>
    </row>
    <row r="7" spans="1:13" x14ac:dyDescent="0.25">
      <c r="A7" s="152"/>
      <c r="B7" s="192" t="s">
        <v>136</v>
      </c>
      <c r="C7" s="193"/>
      <c r="D7" s="193"/>
      <c r="E7" s="193"/>
      <c r="F7" s="193"/>
      <c r="G7" s="193"/>
      <c r="H7" s="193"/>
      <c r="I7" s="193"/>
      <c r="J7" s="193"/>
      <c r="K7" s="193"/>
      <c r="L7" s="232"/>
      <c r="M7" s="228"/>
    </row>
    <row r="8" spans="1:13" x14ac:dyDescent="0.25">
      <c r="A8" s="152"/>
      <c r="B8" s="192" t="s">
        <v>143</v>
      </c>
      <c r="C8" s="236" t="str">
        <f>IFERROR('2018 Calculator'!B16,"-")</f>
        <v>-</v>
      </c>
      <c r="D8" s="236" t="str">
        <f>IFERROR('2018 Calculator'!F16,"-")</f>
        <v>-</v>
      </c>
      <c r="E8" s="236" t="str">
        <f>IFERROR('2018 Calculator'!J16,"-")</f>
        <v>-</v>
      </c>
      <c r="F8" s="236" t="str">
        <f>IFERROR('2018 Calculator'!N16,"-")</f>
        <v>-</v>
      </c>
      <c r="G8" s="236" t="str">
        <f>IFERROR('2018 Calculator'!R16,"-")</f>
        <v>-</v>
      </c>
      <c r="H8" s="236" t="str">
        <f>IFERROR('2018 Calculator'!V16,"-")</f>
        <v>-</v>
      </c>
      <c r="I8" s="236" t="str">
        <f>IFERROR('2018 Calculator'!Z16,"-")</f>
        <v>-</v>
      </c>
      <c r="J8" s="236" t="str">
        <f>IFERROR('2018 Calculator'!AD16,"-")</f>
        <v>-</v>
      </c>
      <c r="K8" s="236" t="str">
        <f>IFERROR('2018 Calculator'!AH16,"-")</f>
        <v>-</v>
      </c>
      <c r="L8" s="237" t="str">
        <f>IFERROR('2018 Calculator'!AL16,"-")</f>
        <v>-</v>
      </c>
      <c r="M8" s="228"/>
    </row>
    <row r="9" spans="1:13" x14ac:dyDescent="0.25">
      <c r="A9" s="152"/>
      <c r="B9" s="242">
        <f>'Allocation of CDIs'!$B$8*'Defined Values'!$B$6</f>
        <v>0</v>
      </c>
      <c r="C9" s="194" t="str">
        <f>IF(M4&lt;='Defined Values'!B30,"You are a minimum holder and have not received CDIs, therefore no CGT Roll-over can be applied.","")</f>
        <v>You are a minimum holder and have not received CDIs, therefore no CGT Roll-over can be applied.</v>
      </c>
      <c r="E9" s="195"/>
      <c r="F9" s="196"/>
      <c r="G9" s="197"/>
      <c r="H9" s="197"/>
      <c r="I9" s="197"/>
      <c r="J9" s="197"/>
      <c r="K9" s="197"/>
      <c r="L9" s="241">
        <f>'Error Checking'!L24</f>
        <v>0</v>
      </c>
      <c r="M9" s="230"/>
    </row>
    <row r="10" spans="1:13" x14ac:dyDescent="0.25">
      <c r="A10" s="152"/>
      <c r="B10" s="198" t="str">
        <f>IF(OR(B39&lt;-60,B39&gt;175),"Results outside expected range. Check all inputs.","")</f>
        <v/>
      </c>
      <c r="C10" s="195" t="str">
        <f>'Error Checking'!B18</f>
        <v/>
      </c>
      <c r="D10" s="187"/>
      <c r="E10" s="197"/>
      <c r="F10" s="199"/>
      <c r="G10" s="197"/>
      <c r="H10" s="197"/>
      <c r="I10" s="197"/>
      <c r="J10" s="197"/>
      <c r="K10" s="197"/>
      <c r="L10" s="233"/>
      <c r="M10" s="230"/>
    </row>
    <row r="11" spans="1:13" x14ac:dyDescent="0.25">
      <c r="A11" s="152"/>
      <c r="B11" s="200" t="s">
        <v>144</v>
      </c>
      <c r="C11" s="201" t="str">
        <f>IF(COUNTA('Manual Input'!B8:B10,'Manual Input'!B17:B19,'Manual Input'!B26:B28)=0,"","MANUAL")</f>
        <v/>
      </c>
      <c r="D11" s="199" t="str">
        <f>IF(COUNTA('Manual Input'!C8:C10,'Manual Input'!C17:C19,'Manual Input'!C26:C28)=0,"","MANUAL")</f>
        <v/>
      </c>
      <c r="E11" s="199" t="str">
        <f>IF(COUNTA('Manual Input'!D8:D10,'Manual Input'!D17:D19,'Manual Input'!D26:D28)=0,"","MANUAL")</f>
        <v/>
      </c>
      <c r="F11" s="199" t="str">
        <f>IF(COUNTA('Manual Input'!E8:E10,'Manual Input'!E17:E19,'Manual Input'!E26:E28)=0,"","MANUAL")</f>
        <v/>
      </c>
      <c r="G11" s="199" t="str">
        <f>IF(COUNTA('Manual Input'!F8:F10,'Manual Input'!F17:F19,'Manual Input'!F26:F28)=0,"","MANUAL")</f>
        <v/>
      </c>
      <c r="H11" s="199" t="str">
        <f>IF(COUNTA('Manual Input'!G8:G10,'Manual Input'!G17:G19,'Manual Input'!G26:G28)=0,"","MANUAL")</f>
        <v/>
      </c>
      <c r="I11" s="199" t="str">
        <f>IF(COUNTA('Manual Input'!H8:H10,'Manual Input'!H17:H19,'Manual Input'!H26:H28)=0,"","MANUAL")</f>
        <v/>
      </c>
      <c r="J11" s="199" t="str">
        <f>IF(COUNTA('Manual Input'!I8:I10,'Manual Input'!I17:I19,'Manual Input'!I26:I28)=0,"","MANUAL")</f>
        <v/>
      </c>
      <c r="K11" s="199" t="str">
        <f>IF(COUNTA('Manual Input'!J8:J10,'Manual Input'!J17:J19,'Manual Input'!J26:J28)=0,"","MANUAL")</f>
        <v/>
      </c>
      <c r="L11" s="234" t="str">
        <f>IF(COUNTA('Manual Input'!K8:K10,'Manual Input'!K17:K19,'Manual Input'!K26:K28)=0,"","MANUAL")</f>
        <v/>
      </c>
      <c r="M11" s="230"/>
    </row>
    <row r="12" spans="1:13" x14ac:dyDescent="0.25">
      <c r="A12" s="152"/>
      <c r="B12" s="187" t="s">
        <v>50</v>
      </c>
      <c r="C12" s="238" t="str">
        <f>IF('Error Checking'!B26&gt;0,'Error Checking'!B26,"")</f>
        <v/>
      </c>
      <c r="D12" s="238" t="str">
        <f>IF('Error Checking'!C26&gt;0,'Error Checking'!C26,"")</f>
        <v/>
      </c>
      <c r="E12" s="238" t="str">
        <f>IF('Error Checking'!D26&gt;0,'Error Checking'!D26,"")</f>
        <v/>
      </c>
      <c r="F12" s="238" t="str">
        <f>IF('Error Checking'!E26&gt;0,'Error Checking'!E26,"")</f>
        <v/>
      </c>
      <c r="G12" s="238" t="str">
        <f>IF('Error Checking'!F26&gt;0,'Error Checking'!F26,"")</f>
        <v/>
      </c>
      <c r="H12" s="238" t="str">
        <f>IF('Error Checking'!G26&gt;0,'Error Checking'!G26,"")</f>
        <v/>
      </c>
      <c r="I12" s="238" t="str">
        <f>IF('Error Checking'!H26&gt;0,'Error Checking'!H26,"")</f>
        <v/>
      </c>
      <c r="J12" s="238" t="str">
        <f>IF('Error Checking'!I26&gt;0,'Error Checking'!I26,"")</f>
        <v/>
      </c>
      <c r="K12" s="238" t="str">
        <f>IF('Error Checking'!J26&gt;0,'Error Checking'!J26,"")</f>
        <v/>
      </c>
      <c r="L12" s="239" t="str">
        <f>IF('Error Checking'!K26&gt;0,'Error Checking'!K26,"")</f>
        <v/>
      </c>
      <c r="M12" s="238" t="str">
        <f>IF(SUM(C12:L12)=0,"",SUM(C12:L12))</f>
        <v/>
      </c>
    </row>
    <row r="13" spans="1:13" hidden="1" x14ac:dyDescent="0.25">
      <c r="A13" s="152"/>
      <c r="B13" s="187" t="s">
        <v>47</v>
      </c>
      <c r="C13" s="238" t="str">
        <f>IFERROR($C$4*'2010 Calculator'!E9,"-")</f>
        <v>-</v>
      </c>
      <c r="D13" s="238" t="str">
        <f>IFERROR($D$4*'2010 Calculator'!I9,"-")</f>
        <v>-</v>
      </c>
      <c r="E13" s="238" t="str">
        <f>IFERROR($E$4*'2010 Calculator'!M9,"-")</f>
        <v>-</v>
      </c>
      <c r="F13" s="238" t="str">
        <f>IFERROR($F$4*'2010 Calculator'!Q9,"-")</f>
        <v>-</v>
      </c>
      <c r="G13" s="238" t="str">
        <f>IFERROR($G$4*'2010 Calculator'!U9,"-")</f>
        <v>-</v>
      </c>
      <c r="H13" s="238" t="str">
        <f>IFERROR($H$4*'2010 Calculator'!Y9,"-")</f>
        <v>-</v>
      </c>
      <c r="I13" s="238" t="str">
        <f>IFERROR($I$4*'2010 Calculator'!AC9,"-")</f>
        <v>-</v>
      </c>
      <c r="J13" s="238" t="str">
        <f>IFERROR($J$4*'2010 Calculator'!AG9,"-")</f>
        <v>-</v>
      </c>
      <c r="K13" s="238" t="str">
        <f>IFERROR($K$4*'2010 Calculator'!AK9,"-")</f>
        <v>-</v>
      </c>
      <c r="L13" s="239" t="str">
        <f>IFERROR($L$4*'2010 Calculator'!AO9,"-")</f>
        <v>-</v>
      </c>
      <c r="M13" s="238">
        <f t="shared" ref="M13:M16" si="1">SUM(C13:L13)</f>
        <v>0</v>
      </c>
    </row>
    <row r="14" spans="1:13" hidden="1" x14ac:dyDescent="0.25">
      <c r="A14" s="152"/>
      <c r="B14" s="187" t="s">
        <v>48</v>
      </c>
      <c r="C14" s="238" t="str">
        <f>IFERROR($C$4*'2010 Calculator'!E10,"-")</f>
        <v>-</v>
      </c>
      <c r="D14" s="238" t="str">
        <f>IFERROR($D$4*'2010 Calculator'!I10,"-")</f>
        <v>-</v>
      </c>
      <c r="E14" s="238" t="str">
        <f>IFERROR($E$4*'2010 Calculator'!M10,"-")</f>
        <v>-</v>
      </c>
      <c r="F14" s="238" t="str">
        <f>IFERROR($F$4*'2010 Calculator'!Q10,"-")</f>
        <v>-</v>
      </c>
      <c r="G14" s="238" t="str">
        <f>IFERROR($G$4*'2010 Calculator'!U10,"-")</f>
        <v>-</v>
      </c>
      <c r="H14" s="238" t="str">
        <f>IFERROR($H$4*'2010 Calculator'!Y10,"-")</f>
        <v>-</v>
      </c>
      <c r="I14" s="238" t="str">
        <f>IFERROR($I$4*'2010 Calculator'!AC10,"-")</f>
        <v>-</v>
      </c>
      <c r="J14" s="238" t="str">
        <f>IFERROR($J$4*'2010 Calculator'!AG10,"-")</f>
        <v>-</v>
      </c>
      <c r="K14" s="238" t="str">
        <f>IFERROR($K$4*'2010 Calculator'!AK10,"-")</f>
        <v>-</v>
      </c>
      <c r="L14" s="239" t="str">
        <f>IFERROR($L$4*'2010 Calculator'!AO10,"-")</f>
        <v>-</v>
      </c>
      <c r="M14" s="238">
        <f t="shared" si="1"/>
        <v>0</v>
      </c>
    </row>
    <row r="15" spans="1:13" hidden="1" x14ac:dyDescent="0.25">
      <c r="A15" s="152"/>
      <c r="B15" s="187" t="s">
        <v>93</v>
      </c>
      <c r="C15" s="238" t="str">
        <f>IFERROR(C4*'2014 Calculator'!E9,"-")</f>
        <v>-</v>
      </c>
      <c r="D15" s="238" t="str">
        <f>IFERROR($D$4*'2014 Calculator'!I9,"-")</f>
        <v>-</v>
      </c>
      <c r="E15" s="238" t="str">
        <f>IFERROR($E$4*'2014 Calculator'!M9,"-")</f>
        <v>-</v>
      </c>
      <c r="F15" s="238" t="str">
        <f>IFERROR($F$4*'2014 Calculator'!Q9,"-")</f>
        <v>-</v>
      </c>
      <c r="G15" s="238" t="str">
        <f>IFERROR($G$4*'2014 Calculator'!U9,"-")</f>
        <v>-</v>
      </c>
      <c r="H15" s="238" t="str">
        <f>IFERROR($H$4*'2014 Calculator'!Y9,"-")</f>
        <v>-</v>
      </c>
      <c r="I15" s="238" t="str">
        <f>IFERROR($I$4*'2014 Calculator'!AC9,"-")</f>
        <v>-</v>
      </c>
      <c r="J15" s="238" t="str">
        <f>IFERROR($J$4*'2014 Calculator'!AG9,"-")</f>
        <v>-</v>
      </c>
      <c r="K15" s="238" t="str">
        <f>IFERROR($K$4*'2014 Calculator'!AK9,"-")</f>
        <v>-</v>
      </c>
      <c r="L15" s="239" t="str">
        <f>IFERROR($L$4*'2014 Calculator'!AO9,"-")</f>
        <v>-</v>
      </c>
      <c r="M15" s="238">
        <f t="shared" si="1"/>
        <v>0</v>
      </c>
    </row>
    <row r="16" spans="1:13" hidden="1" x14ac:dyDescent="0.25">
      <c r="A16" s="152"/>
      <c r="B16" s="187" t="s">
        <v>49</v>
      </c>
      <c r="C16" s="238" t="str">
        <f>IFERROR(C4*'2014 Calculator'!E12,"-")</f>
        <v>-</v>
      </c>
      <c r="D16" s="238" t="str">
        <f>IFERROR($D$4*'2014 Calculator'!I12,"-")</f>
        <v>-</v>
      </c>
      <c r="E16" s="238" t="str">
        <f>IFERROR($E$4*'2014 Calculator'!M12,"-")</f>
        <v>-</v>
      </c>
      <c r="F16" s="238" t="str">
        <f>IFERROR($F$4*'2014 Calculator'!Q12,"-")</f>
        <v>-</v>
      </c>
      <c r="G16" s="238" t="str">
        <f>IFERROR($G$4*'2014 Calculator'!U12,"-")</f>
        <v>-</v>
      </c>
      <c r="H16" s="238" t="str">
        <f>IFERROR($H$4*'2014 Calculator'!Y12,"-")</f>
        <v>-</v>
      </c>
      <c r="I16" s="238" t="str">
        <f>IFERROR($I$4*'2014 Calculator'!AC12,"-")</f>
        <v>-</v>
      </c>
      <c r="J16" s="238" t="str">
        <f>IFERROR($J$4*'2014 Calculator'!AG12,"-")</f>
        <v>-</v>
      </c>
      <c r="K16" s="238" t="str">
        <f>IFERROR($K$4*'2014 Calculator'!AK12,"-")</f>
        <v>-</v>
      </c>
      <c r="L16" s="239" t="str">
        <f>IFERROR($L$4*'2014 Calculator'!AO12,"-")</f>
        <v>-</v>
      </c>
      <c r="M16" s="238">
        <f t="shared" si="1"/>
        <v>0</v>
      </c>
    </row>
    <row r="17" spans="1:13" x14ac:dyDescent="0.25">
      <c r="A17" s="152"/>
      <c r="B17" s="187" t="s">
        <v>135</v>
      </c>
      <c r="C17" s="240" t="str">
        <f>IF(ISBLANK(C3),"-",IF(C3&gt;=TDD!$A$12,"-",IFERROR(C4*'2018 Calculator'!$E$10,"-")))</f>
        <v>-</v>
      </c>
      <c r="D17" s="240" t="str">
        <f>IF(ISBLANK(D3),"-",IF(D3&gt;=TDD!$A$12,"-",IFERROR(D4*'2018 Calculator'!I10,"-")))</f>
        <v>-</v>
      </c>
      <c r="E17" s="240" t="str">
        <f>IF(ISBLANK(E3),"-",IF(E3&gt;=TDD!$A$12,"-",IFERROR(E4*'2018 Calculator'!M10,"-")))</f>
        <v>-</v>
      </c>
      <c r="F17" s="240" t="str">
        <f>IF(ISBLANK(F3),"-",IF(F3&gt;=TDD!$A$12,"-",IFERROR(F4*'2018 Calculator'!Q10,"-")))</f>
        <v>-</v>
      </c>
      <c r="G17" s="240" t="str">
        <f>IF(ISBLANK(G3),"-",IF(G3&gt;=TDD!$A$12,"-",IFERROR(G4*'2018 Calculator'!U10,"-")))</f>
        <v>-</v>
      </c>
      <c r="H17" s="240" t="str">
        <f>IF(ISBLANK(H3),"-",IF(H3&gt;=TDD!$A$12,"-",IFERROR(H4*'2018 Calculator'!Y10,"-")))</f>
        <v>-</v>
      </c>
      <c r="I17" s="240" t="str">
        <f>IF(ISBLANK(I3),"-",IF(I3&gt;=TDD!$A$12,"-",IFERROR(I4*'2018 Calculator'!AC10,"-")))</f>
        <v>-</v>
      </c>
      <c r="J17" s="240" t="str">
        <f>IF(ISBLANK(J3),"-",IF(J3&gt;=TDD!$A$12,"-",IFERROR(J4*'2018 Calculator'!AG10,"-")))</f>
        <v>-</v>
      </c>
      <c r="K17" s="240" t="str">
        <f>IF(ISBLANK(K3),"-",IF(K3&gt;=TDD!$A$12,"-",IFERROR(K4*'2018 Calculator'!AK10,"-")))</f>
        <v>-</v>
      </c>
      <c r="L17" s="239" t="str">
        <f>IF(ISBLANK(L3),"-",IF(L3&gt;=TDD!$A$12,"-",IFERROR(L4*'2018 Calculator'!AO10,"-")))</f>
        <v>-</v>
      </c>
      <c r="M17" s="238" t="str">
        <f>IF(SUM(C17:L17)=0,"",SUM(C17:L17))</f>
        <v/>
      </c>
    </row>
    <row r="18" spans="1:13" x14ac:dyDescent="0.25">
      <c r="A18" s="152"/>
      <c r="B18" s="192" t="s">
        <v>137</v>
      </c>
      <c r="C18" s="240" t="str">
        <f>IFERROR(C4*'2018 Calculator'!E9,"-")</f>
        <v>-</v>
      </c>
      <c r="D18" s="240" t="str">
        <f>IFERROR((D4*'2018 Calculator'!I9),"-")</f>
        <v>-</v>
      </c>
      <c r="E18" s="240" t="str">
        <f>IFERROR(E4*'2018 Calculator'!M9,"-")</f>
        <v>-</v>
      </c>
      <c r="F18" s="240" t="str">
        <f>IFERROR(F4*'2018 Calculator'!Q9,"-")</f>
        <v>-</v>
      </c>
      <c r="G18" s="240" t="str">
        <f>IFERROR(G4*'2018 Calculator'!U9,"-")</f>
        <v>-</v>
      </c>
      <c r="H18" s="240" t="str">
        <f>IFERROR(H4*'2018 Calculator'!Y9,"-")</f>
        <v>-</v>
      </c>
      <c r="I18" s="240" t="str">
        <f>IFERROR(I4*'2018 Calculator'!AC9,"-")</f>
        <v>-</v>
      </c>
      <c r="J18" s="240" t="str">
        <f>IFERROR(J4*'2018 Calculator'!AG9,"-")</f>
        <v>-</v>
      </c>
      <c r="K18" s="240" t="str">
        <f>IFERROR(K4*'2018 Calculator'!AK9,"-")</f>
        <v>-</v>
      </c>
      <c r="L18" s="239" t="str">
        <f>IFERROR(L4*'2018 Calculator'!AO9,"-")</f>
        <v>-</v>
      </c>
      <c r="M18" s="238">
        <f>SUM(C18:L18)</f>
        <v>0</v>
      </c>
    </row>
    <row r="19" spans="1:13" x14ac:dyDescent="0.25">
      <c r="A19" s="152"/>
      <c r="B19" s="187"/>
      <c r="C19" s="195" t="str">
        <f>'Error Checking'!B23</f>
        <v/>
      </c>
      <c r="D19" s="197"/>
      <c r="E19" s="197"/>
      <c r="F19" s="197"/>
      <c r="G19" s="197"/>
      <c r="H19" s="197"/>
      <c r="I19" s="197"/>
      <c r="J19" s="197"/>
      <c r="K19" s="197"/>
      <c r="L19" s="233"/>
      <c r="M19" s="230"/>
    </row>
    <row r="20" spans="1:13" x14ac:dyDescent="0.25">
      <c r="A20" s="152"/>
      <c r="B20" s="200" t="s">
        <v>145</v>
      </c>
      <c r="C20" s="197"/>
      <c r="D20" s="197"/>
      <c r="E20" s="197"/>
      <c r="F20" s="197"/>
      <c r="G20" s="197"/>
      <c r="H20" s="197"/>
      <c r="I20" s="197"/>
      <c r="J20" s="197"/>
      <c r="K20" s="197"/>
      <c r="L20" s="233"/>
      <c r="M20" s="230"/>
    </row>
    <row r="21" spans="1:13" x14ac:dyDescent="0.25">
      <c r="A21" s="152"/>
      <c r="B21" s="187" t="s">
        <v>146</v>
      </c>
      <c r="C21" s="238" t="str">
        <f>IFERROR(IF(C8="Yes","Roll-over",C4*'2018 Calculator'!B15),"")</f>
        <v/>
      </c>
      <c r="D21" s="238" t="str">
        <f>IFERROR(IF(D8="Yes","Roll-over",D4*'2018 Calculator'!F15),"")</f>
        <v/>
      </c>
      <c r="E21" s="238" t="str">
        <f>IFERROR(IF(E8="Yes","Roll-over",E4*'2018 Calculator'!J15),"")</f>
        <v/>
      </c>
      <c r="F21" s="238" t="str">
        <f>IFERROR(IF(F8="Yes","Roll-over",F4*'2018 Calculator'!N15),"")</f>
        <v/>
      </c>
      <c r="G21" s="238" t="str">
        <f>IFERROR(IF(G8="Yes","Roll-over",G4*'2018 Calculator'!R15),"")</f>
        <v/>
      </c>
      <c r="H21" s="238" t="str">
        <f>IFERROR(IF(H8="Yes","Roll-over",H4*'2018 Calculator'!V15),"")</f>
        <v/>
      </c>
      <c r="I21" s="238" t="str">
        <f>IFERROR(IF(I8="Yes","Roll-over",I4*'2018 Calculator'!Z15),"")</f>
        <v/>
      </c>
      <c r="J21" s="238" t="str">
        <f>IFERROR(IF(J8="Yes","Roll-over",J4*'2018 Calculator'!AD15),"")</f>
        <v/>
      </c>
      <c r="K21" s="238" t="str">
        <f>IFERROR(IF(K8="Yes","Roll-over",K4*'2018 Calculator'!AH15),"")</f>
        <v/>
      </c>
      <c r="L21" s="239" t="str">
        <f>IFERROR(IF(L8="Yes","Roll-over",L4*'2018 Calculator'!AL15),"")</f>
        <v/>
      </c>
      <c r="M21" s="230"/>
    </row>
    <row r="22" spans="1:13" x14ac:dyDescent="0.25">
      <c r="A22" s="152"/>
      <c r="B22" s="187" t="s">
        <v>147</v>
      </c>
      <c r="C22" s="238" t="str">
        <f>IFERROR(C4*'2018 Calculator'!C15,"")</f>
        <v/>
      </c>
      <c r="D22" s="238" t="str">
        <f>IFERROR(D4*'2018 Calculator'!G15,"")</f>
        <v/>
      </c>
      <c r="E22" s="238" t="str">
        <f>IFERROR(E4*'2018 Calculator'!K15,"")</f>
        <v/>
      </c>
      <c r="F22" s="238" t="str">
        <f>IFERROR(F4*'2018 Calculator'!O15,"")</f>
        <v/>
      </c>
      <c r="G22" s="238" t="str">
        <f>IFERROR(G4*'2018 Calculator'!S15,"")</f>
        <v/>
      </c>
      <c r="H22" s="238" t="str">
        <f>IFERROR(H4*'2018 Calculator'!W15,"")</f>
        <v/>
      </c>
      <c r="I22" s="238" t="str">
        <f>IFERROR(I4*'2018 Calculator'!AA15,"")</f>
        <v/>
      </c>
      <c r="J22" s="238" t="str">
        <f>IFERROR(J4*'2018 Calculator'!AE15,"")</f>
        <v/>
      </c>
      <c r="K22" s="238" t="str">
        <f>IFERROR(K4*'2018 Calculator'!AI15,"")</f>
        <v/>
      </c>
      <c r="L22" s="239" t="str">
        <f>IFERROR(L4*'2018 Calculator'!AM15,"")</f>
        <v/>
      </c>
      <c r="M22" s="230"/>
    </row>
    <row r="23" spans="1:13" x14ac:dyDescent="0.25">
      <c r="A23" s="152"/>
      <c r="B23" s="187" t="s">
        <v>148</v>
      </c>
      <c r="C23" s="238" t="str">
        <f>IFERROR(C4*'2018 Calculator'!D15,"")</f>
        <v/>
      </c>
      <c r="D23" s="238" t="str">
        <f>IFERROR(D4*'2018 Calculator'!H15,"")</f>
        <v/>
      </c>
      <c r="E23" s="238" t="str">
        <f>IFERROR(E4*'2018 Calculator'!L15,"")</f>
        <v/>
      </c>
      <c r="F23" s="238" t="str">
        <f>IFERROR(F4*'2018 Calculator'!P15,"")</f>
        <v/>
      </c>
      <c r="G23" s="238" t="str">
        <f>IFERROR(G4*'2018 Calculator'!T15,"")</f>
        <v/>
      </c>
      <c r="H23" s="238" t="str">
        <f>IFERROR(H4*'2018 Calculator'!X15,"")</f>
        <v/>
      </c>
      <c r="I23" s="238" t="str">
        <f>IFERROR(I4*'2018 Calculator'!AB15,"")</f>
        <v/>
      </c>
      <c r="J23" s="238" t="str">
        <f>IFERROR(J4*'2018 Calculator'!AF15,"")</f>
        <v/>
      </c>
      <c r="K23" s="238" t="str">
        <f>IFERROR(K4*'2018 Calculator'!AJ15,"")</f>
        <v/>
      </c>
      <c r="L23" s="239" t="str">
        <f>IFERROR(L4*'2018 Calculator'!AN15,"")</f>
        <v/>
      </c>
      <c r="M23" s="230"/>
    </row>
    <row r="24" spans="1:13" ht="15.75" thickBot="1" x14ac:dyDescent="0.3">
      <c r="A24" s="152"/>
      <c r="B24" s="202" t="s">
        <v>155</v>
      </c>
      <c r="C24" s="220" t="str">
        <f>IFERROR('2018 Calculator'!B18,"-")</f>
        <v>-</v>
      </c>
      <c r="D24" s="220" t="str">
        <f>IFERROR('2018 Calculator'!F18,"-")</f>
        <v>-</v>
      </c>
      <c r="E24" s="220" t="str">
        <f>IFERROR('2018 Calculator'!J18,"-")</f>
        <v>-</v>
      </c>
      <c r="F24" s="220" t="str">
        <f>IFERROR('2018 Calculator'!N18,"-")</f>
        <v>-</v>
      </c>
      <c r="G24" s="220" t="str">
        <f>IFERROR('2018 Calculator'!R18,"-")</f>
        <v>-</v>
      </c>
      <c r="H24" s="220" t="str">
        <f>IFERROR('2018 Calculator'!V18,"-")</f>
        <v>-</v>
      </c>
      <c r="I24" s="220" t="str">
        <f>IFERROR('2018 Calculator'!Z18,"-")</f>
        <v>-</v>
      </c>
      <c r="J24" s="220" t="str">
        <f>IFERROR('2018 Calculator'!AD18,"-")</f>
        <v>-</v>
      </c>
      <c r="K24" s="220" t="str">
        <f>IFERROR('2018 Calculator'!AH18,"-")</f>
        <v>-</v>
      </c>
      <c r="L24" s="221" t="str">
        <f>IFERROR('2018 Calculator'!AL18,"-")</f>
        <v>-</v>
      </c>
      <c r="M24" s="235">
        <f>SUM(C24:L24)</f>
        <v>0</v>
      </c>
    </row>
    <row r="25" spans="1:13" ht="16.5" thickTop="1" thickBot="1" x14ac:dyDescent="0.3">
      <c r="A25" s="152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253"/>
      <c r="M25" s="205"/>
    </row>
    <row r="26" spans="1:13" x14ac:dyDescent="0.25">
      <c r="A26" s="152"/>
      <c r="B26" s="244" t="s">
        <v>153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54"/>
      <c r="M26" s="205"/>
    </row>
    <row r="27" spans="1:13" ht="15.75" thickBot="1" x14ac:dyDescent="0.3">
      <c r="A27" s="152"/>
      <c r="B27" s="279"/>
      <c r="C27" s="206"/>
      <c r="D27" s="206"/>
      <c r="E27" s="206"/>
      <c r="F27" s="206"/>
      <c r="G27" s="206"/>
      <c r="H27" s="206"/>
      <c r="I27" s="206"/>
      <c r="J27" s="206"/>
      <c r="K27" s="206"/>
      <c r="L27" s="253"/>
      <c r="M27" s="205"/>
    </row>
    <row r="28" spans="1:13" x14ac:dyDescent="0.25">
      <c r="A28" s="152"/>
      <c r="B28" s="207" t="s">
        <v>154</v>
      </c>
      <c r="C28" s="204"/>
      <c r="D28" s="206"/>
      <c r="E28" s="207" t="s">
        <v>149</v>
      </c>
      <c r="F28" s="208"/>
      <c r="G28" s="203"/>
      <c r="H28" s="204"/>
      <c r="I28" s="206"/>
      <c r="J28" s="206"/>
      <c r="K28" s="206"/>
      <c r="L28" s="253"/>
      <c r="M28" s="205"/>
    </row>
    <row r="29" spans="1:13" x14ac:dyDescent="0.25">
      <c r="A29" s="152"/>
      <c r="B29" s="209" t="s">
        <v>82</v>
      </c>
      <c r="C29" s="225">
        <f>C30*C31</f>
        <v>0</v>
      </c>
      <c r="D29" s="210"/>
      <c r="E29" s="209" t="s">
        <v>82</v>
      </c>
      <c r="F29" s="206"/>
      <c r="G29" s="206"/>
      <c r="H29" s="211" t="str">
        <f>IFERROR(H30*'Defined Values'!B4,"-")</f>
        <v>-</v>
      </c>
      <c r="I29" s="206"/>
      <c r="J29" s="210"/>
      <c r="K29" s="206"/>
      <c r="L29" s="255"/>
      <c r="M29" s="205"/>
    </row>
    <row r="30" spans="1:13" x14ac:dyDescent="0.25">
      <c r="A30" s="152"/>
      <c r="B30" s="209" t="s">
        <v>60</v>
      </c>
      <c r="C30" s="250">
        <f>ROUNDUP(SUM(C4:L4)/20,0)</f>
        <v>0</v>
      </c>
      <c r="D30" s="212"/>
      <c r="E30" s="209" t="s">
        <v>152</v>
      </c>
      <c r="F30" s="206"/>
      <c r="G30" s="206"/>
      <c r="H30" s="251" t="str">
        <f>IFERROR('Allocation of CDIs'!$L$15,"-")</f>
        <v>-</v>
      </c>
      <c r="I30" s="206"/>
      <c r="J30" s="212" t="s">
        <v>19</v>
      </c>
      <c r="K30" s="252" t="str">
        <f>IFERROR(M36+H30,"-")</f>
        <v>-</v>
      </c>
      <c r="L30" s="256"/>
      <c r="M30" s="205"/>
    </row>
    <row r="31" spans="1:13" x14ac:dyDescent="0.25">
      <c r="A31" s="152"/>
      <c r="B31" s="209" t="s">
        <v>61</v>
      </c>
      <c r="C31" s="245">
        <f>'Defined Values'!B2</f>
        <v>1.3539999999999999</v>
      </c>
      <c r="D31" s="212"/>
      <c r="E31" s="209" t="s">
        <v>67</v>
      </c>
      <c r="F31" s="206"/>
      <c r="G31" s="206"/>
      <c r="H31" s="247" t="str">
        <f>IFERROR(H29/H30,"-")</f>
        <v>-</v>
      </c>
      <c r="I31" s="206"/>
      <c r="J31" s="212"/>
      <c r="K31" s="222"/>
      <c r="L31" s="256"/>
      <c r="M31" s="205"/>
    </row>
    <row r="32" spans="1:13" ht="15.75" thickBot="1" x14ac:dyDescent="0.3">
      <c r="A32" s="152"/>
      <c r="B32" s="214" t="s">
        <v>3</v>
      </c>
      <c r="C32" s="215">
        <v>43258</v>
      </c>
      <c r="D32" s="210"/>
      <c r="E32" s="214" t="s">
        <v>3</v>
      </c>
      <c r="F32" s="216"/>
      <c r="G32" s="216"/>
      <c r="H32" s="215">
        <v>43258</v>
      </c>
      <c r="I32" s="206"/>
      <c r="J32" s="210"/>
      <c r="K32" s="210"/>
      <c r="L32" s="256"/>
      <c r="M32" s="205"/>
    </row>
    <row r="33" spans="1:13" ht="15.75" thickBot="1" x14ac:dyDescent="0.3">
      <c r="A33" s="152"/>
      <c r="B33" s="217"/>
      <c r="C33" s="262" t="str">
        <f>IF(COUNTA('Manual Input'!B8:K10,'Manual Input'!B17:K19,'Manual Input'!B26:K28)&gt;0,"You have manually input the cost base for WFD stapled securities. Please retain the Manual Input sheet.","")</f>
        <v/>
      </c>
      <c r="D33" s="205"/>
      <c r="E33" s="205"/>
      <c r="F33" s="205"/>
      <c r="G33" s="205"/>
      <c r="H33" s="205"/>
      <c r="I33" s="205"/>
      <c r="J33" s="205"/>
      <c r="K33" s="206"/>
      <c r="L33" s="233"/>
      <c r="M33" s="205"/>
    </row>
    <row r="34" spans="1:13" x14ac:dyDescent="0.25">
      <c r="A34" s="152"/>
      <c r="B34" s="207" t="s">
        <v>150</v>
      </c>
      <c r="C34" s="243" t="str">
        <f>IF(COUNTA('Manual Input'!B8:B10,'Manual Input'!B17:B19,'Manual Input'!B26:B28)=0,"","MANUAL")</f>
        <v/>
      </c>
      <c r="D34" s="243" t="str">
        <f>IF(COUNTA('Manual Input'!C8:C10,'Manual Input'!C17:C19,'Manual Input'!C26:C28)=0,"","MANUAL")</f>
        <v/>
      </c>
      <c r="E34" s="243" t="str">
        <f>IF(COUNTA('Manual Input'!D8:D10,'Manual Input'!D17:D19,'Manual Input'!D26:D28)=0,"","MANUAL")</f>
        <v/>
      </c>
      <c r="F34" s="243" t="str">
        <f>IF(COUNTA('Manual Input'!E8:E10,'Manual Input'!E17:E19,'Manual Input'!E26:E28)=0,"","MANUAL")</f>
        <v/>
      </c>
      <c r="G34" s="243" t="str">
        <f>IF(COUNTA('Manual Input'!F8:F10,'Manual Input'!F17:F19,'Manual Input'!F26:F28)=0,"","MANUAL")</f>
        <v/>
      </c>
      <c r="H34" s="243" t="str">
        <f>IF(COUNTA('Manual Input'!G8:G10,'Manual Input'!G17:G19,'Manual Input'!G26:G28)=0,"","MANUAL")</f>
        <v/>
      </c>
      <c r="I34" s="243" t="str">
        <f>IF(COUNTA('Manual Input'!H8:H10,'Manual Input'!H17:H19,'Manual Input'!H26:H28)=0,"","MANUAL")</f>
        <v/>
      </c>
      <c r="J34" s="243" t="str">
        <f>IF(COUNTA('Manual Input'!I8:I10,'Manual Input'!I17:I19,'Manual Input'!I26:I28)=0,"","MANUAL")</f>
        <v/>
      </c>
      <c r="K34" s="243" t="str">
        <f>IF(COUNTA('Manual Input'!J8:J10,'Manual Input'!J17:J19,'Manual Input'!J26:J28)=0,"","MANUAL")</f>
        <v/>
      </c>
      <c r="L34" s="257" t="str">
        <f>IF(COUNTA('Manual Input'!K8:K10,'Manual Input'!K17:K19,'Manual Input'!K26:K28)=0,"","MANUAL")</f>
        <v/>
      </c>
      <c r="M34" s="205"/>
    </row>
    <row r="35" spans="1:13" x14ac:dyDescent="0.25">
      <c r="A35" s="152"/>
      <c r="B35" s="209" t="s">
        <v>82</v>
      </c>
      <c r="C35" s="218" t="str">
        <f>IFERROR('2018 Calculator'!B25,"-")</f>
        <v>-</v>
      </c>
      <c r="D35" s="218" t="str">
        <f>IFERROR('2018 Calculator'!F25,"-")</f>
        <v>-</v>
      </c>
      <c r="E35" s="218" t="str">
        <f>IFERROR('2018 Calculator'!J25,"-")</f>
        <v>-</v>
      </c>
      <c r="F35" s="218" t="str">
        <f>IFERROR('2018 Calculator'!N25,"-")</f>
        <v>-</v>
      </c>
      <c r="G35" s="218" t="str">
        <f>IFERROR('2018 Calculator'!R25,"-")</f>
        <v>-</v>
      </c>
      <c r="H35" s="218" t="str">
        <f>IFERROR('2018 Calculator'!V25,"-")</f>
        <v>-</v>
      </c>
      <c r="I35" s="218" t="str">
        <f>IFERROR('2018 Calculator'!Z25,"-")</f>
        <v>-</v>
      </c>
      <c r="J35" s="218" t="str">
        <f>IFERROR('2018 Calculator'!AD25,"-")</f>
        <v>-</v>
      </c>
      <c r="K35" s="218" t="str">
        <f>IFERROR('2018 Calculator'!AH25,"-")</f>
        <v>-</v>
      </c>
      <c r="L35" s="258" t="str">
        <f>IFERROR('2018 Calculator'!AL25,"-")</f>
        <v>-</v>
      </c>
      <c r="M35" s="218">
        <f>SUM(C35:L35)</f>
        <v>0</v>
      </c>
    </row>
    <row r="36" spans="1:13" x14ac:dyDescent="0.25">
      <c r="A36" s="152"/>
      <c r="B36" s="209" t="s">
        <v>152</v>
      </c>
      <c r="C36" s="249" t="str">
        <f>IFERROR(IF('Allocation of CDIs'!B16&gt;0,'Allocation of CDIs'!B16,"-"),"-")</f>
        <v>-</v>
      </c>
      <c r="D36" s="249" t="str">
        <f>IFERROR(IF('Allocation of CDIs'!C16&gt;0,'Allocation of CDIs'!C16,"-"),"-")</f>
        <v>-</v>
      </c>
      <c r="E36" s="249" t="str">
        <f>IFERROR(IF('Allocation of CDIs'!D16&gt;0,'Allocation of CDIs'!D16,"-"),"-")</f>
        <v>-</v>
      </c>
      <c r="F36" s="249" t="str">
        <f>IFERROR(IF('Allocation of CDIs'!E16&gt;0,'Allocation of CDIs'!E16,"-"),"-")</f>
        <v>-</v>
      </c>
      <c r="G36" s="249" t="str">
        <f>IFERROR(IF('Allocation of CDIs'!F16&gt;0,'Allocation of CDIs'!F16,"-"),"-")</f>
        <v>-</v>
      </c>
      <c r="H36" s="249" t="str">
        <f>IFERROR(IF('Allocation of CDIs'!G16&gt;0,'Allocation of CDIs'!G16,"-"),"-")</f>
        <v>-</v>
      </c>
      <c r="I36" s="249" t="str">
        <f>IFERROR(IF('Allocation of CDIs'!H16&gt;0,'Allocation of CDIs'!H16,"-"),"-")</f>
        <v>-</v>
      </c>
      <c r="J36" s="249" t="str">
        <f>IFERROR(IF('Allocation of CDIs'!I16&gt;0,'Allocation of CDIs'!I16,"-"),"-")</f>
        <v>-</v>
      </c>
      <c r="K36" s="249" t="str">
        <f>IFERROR(IF('Allocation of CDIs'!J16&gt;0,'Allocation of CDIs'!J16,"-"),"-")</f>
        <v>-</v>
      </c>
      <c r="L36" s="259" t="str">
        <f>IFERROR(IF('Allocation of CDIs'!K16&gt;0,'Allocation of CDIs'!K16,"-"),"-")</f>
        <v>-</v>
      </c>
      <c r="M36" s="249">
        <f>SUM(C36:L36)</f>
        <v>0</v>
      </c>
    </row>
    <row r="37" spans="1:13" x14ac:dyDescent="0.25">
      <c r="A37" s="152"/>
      <c r="B37" s="209" t="s">
        <v>67</v>
      </c>
      <c r="C37" s="246" t="str">
        <f>IFERROR(C35/C36,"-")</f>
        <v>-</v>
      </c>
      <c r="D37" s="246" t="str">
        <f t="shared" ref="D37:L37" si="2">IFERROR(D35/D36,"-")</f>
        <v>-</v>
      </c>
      <c r="E37" s="246" t="str">
        <f t="shared" si="2"/>
        <v>-</v>
      </c>
      <c r="F37" s="246" t="str">
        <f t="shared" si="2"/>
        <v>-</v>
      </c>
      <c r="G37" s="246" t="str">
        <f t="shared" si="2"/>
        <v>-</v>
      </c>
      <c r="H37" s="246" t="str">
        <f t="shared" si="2"/>
        <v>-</v>
      </c>
      <c r="I37" s="246" t="str">
        <f t="shared" si="2"/>
        <v>-</v>
      </c>
      <c r="J37" s="246" t="str">
        <f t="shared" si="2"/>
        <v>-</v>
      </c>
      <c r="K37" s="246" t="str">
        <f t="shared" si="2"/>
        <v>-</v>
      </c>
      <c r="L37" s="260" t="str">
        <f t="shared" si="2"/>
        <v>-</v>
      </c>
      <c r="M37" s="213"/>
    </row>
    <row r="38" spans="1:13" ht="15.75" thickBot="1" x14ac:dyDescent="0.3">
      <c r="A38" s="152"/>
      <c r="B38" s="223" t="s">
        <v>151</v>
      </c>
      <c r="C38" s="219" t="str">
        <f>IF(C8="Yes",C3,"-")</f>
        <v>-</v>
      </c>
      <c r="D38" s="219" t="str">
        <f t="shared" ref="D38:L38" si="3">IF(D8="Yes",D3,"-")</f>
        <v>-</v>
      </c>
      <c r="E38" s="219" t="str">
        <f t="shared" si="3"/>
        <v>-</v>
      </c>
      <c r="F38" s="219" t="str">
        <f t="shared" si="3"/>
        <v>-</v>
      </c>
      <c r="G38" s="219" t="str">
        <f t="shared" si="3"/>
        <v>-</v>
      </c>
      <c r="H38" s="219" t="str">
        <f t="shared" si="3"/>
        <v>-</v>
      </c>
      <c r="I38" s="219" t="str">
        <f t="shared" si="3"/>
        <v>-</v>
      </c>
      <c r="J38" s="219" t="str">
        <f t="shared" si="3"/>
        <v>-</v>
      </c>
      <c r="K38" s="219" t="str">
        <f t="shared" si="3"/>
        <v>-</v>
      </c>
      <c r="L38" s="261" t="str">
        <f t="shared" si="3"/>
        <v>-</v>
      </c>
      <c r="M38" s="213"/>
    </row>
    <row r="39" spans="1:13" hidden="1" x14ac:dyDescent="0.25">
      <c r="B39" s="277">
        <f>$M$4*'Defined Values'!$B$16-$M$18-$M$24-('Defined Values'!$B$4*'Summary Sheet'!$M$36-'Summary Sheet'!$M$35)</f>
        <v>0</v>
      </c>
      <c r="C39" s="278"/>
    </row>
    <row r="40" spans="1:13" hidden="1" x14ac:dyDescent="0.25">
      <c r="B40" s="224"/>
    </row>
  </sheetData>
  <sheetProtection password="B45D" sheet="1" objects="1" scenarios="1" formatColumns="0" formatRows="0" selectLockedCells="1"/>
  <dataValidations count="4">
    <dataValidation allowBlank="1" showInputMessage="1" showErrorMessage="1" sqref="E8:L8"/>
    <dataValidation type="whole" errorStyle="warning" operator="greaterThan" allowBlank="1" showErrorMessage="1" errorTitle="Number of Stapled Securities" error="Check you have input a positive integer number of Stapled Securities." sqref="C4:L4">
      <formula1>0</formula1>
    </dataValidation>
    <dataValidation type="date" errorStyle="warning" allowBlank="1" showErrorMessage="1" errorTitle="Date Range" error="Please enter a date between 16/07/2004 and 07/06/2018." sqref="C3:L3">
      <formula1>38184</formula1>
      <formula2>43258</formula2>
    </dataValidation>
    <dataValidation type="decimal" errorStyle="warning" allowBlank="1" showErrorMessage="1" errorTitle="Purchase Price outside range" error="Normal price range is between $4 and $18. Your input will still be accepted, but check you have entered it correctly." sqref="C5:L5">
      <formula1>4</formula1>
      <formula2>18</formula2>
    </dataValidation>
  </dataValidations>
  <pageMargins left="0.7" right="0.7" top="0.75" bottom="0.75" header="0.3" footer="0.3"/>
  <pageSetup paperSize="9" scale="80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'Defined Values'!$H$14:$H$15</xm:f>
          </x14:formula1>
          <xm:sqref>C7:L7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2" tint="-0.249977111117893"/>
  </sheetPr>
  <dimension ref="A1:G45"/>
  <sheetViews>
    <sheetView workbookViewId="0">
      <selection sqref="A1:G1"/>
    </sheetView>
  </sheetViews>
  <sheetFormatPr defaultColWidth="0" defaultRowHeight="15" zeroHeight="1" x14ac:dyDescent="0.25"/>
  <cols>
    <col min="1" max="2" width="9.7109375" bestFit="1" customWidth="1"/>
    <col min="3" max="3" width="9.7109375" style="22" customWidth="1"/>
    <col min="4" max="4" width="9.140625" customWidth="1"/>
    <col min="5" max="5" width="6.5703125" bestFit="1" customWidth="1"/>
    <col min="6" max="6" width="8.140625" bestFit="1" customWidth="1"/>
    <col min="7" max="7" width="7.140625" customWidth="1"/>
    <col min="8" max="16384" width="9.140625" hidden="1"/>
  </cols>
  <sheetData>
    <row r="1" spans="1:7" ht="15.75" thickBot="1" x14ac:dyDescent="0.3">
      <c r="A1" s="296" t="s">
        <v>26</v>
      </c>
      <c r="B1" s="297"/>
      <c r="C1" s="297"/>
      <c r="D1" s="297"/>
      <c r="E1" s="297"/>
      <c r="F1" s="297"/>
      <c r="G1" s="298"/>
    </row>
    <row r="2" spans="1:7" x14ac:dyDescent="0.25">
      <c r="A2" s="302" t="s">
        <v>11</v>
      </c>
      <c r="B2" s="304" t="s">
        <v>12</v>
      </c>
      <c r="C2" s="304" t="s">
        <v>99</v>
      </c>
      <c r="D2" s="5" t="s">
        <v>1</v>
      </c>
      <c r="E2" s="34" t="s">
        <v>2</v>
      </c>
      <c r="F2" s="5" t="s">
        <v>4</v>
      </c>
      <c r="G2" s="21" t="s">
        <v>4</v>
      </c>
    </row>
    <row r="3" spans="1:7" s="22" customFormat="1" x14ac:dyDescent="0.25">
      <c r="A3" s="303"/>
      <c r="B3" s="305"/>
      <c r="C3" s="305"/>
      <c r="D3" s="29" t="s">
        <v>16</v>
      </c>
      <c r="E3" s="35" t="s">
        <v>25</v>
      </c>
      <c r="F3" s="29" t="s">
        <v>16</v>
      </c>
      <c r="G3" s="30" t="s">
        <v>25</v>
      </c>
    </row>
    <row r="4" spans="1:7" x14ac:dyDescent="0.25">
      <c r="A4" s="28">
        <v>31048</v>
      </c>
      <c r="B4" s="27">
        <v>41819</v>
      </c>
      <c r="C4" s="27" t="s">
        <v>100</v>
      </c>
      <c r="D4" s="36">
        <v>0</v>
      </c>
      <c r="E4" s="36">
        <f>SUM(D4:$D$12)</f>
        <v>0.25740484039907996</v>
      </c>
      <c r="F4" s="36">
        <v>0</v>
      </c>
      <c r="G4" s="37">
        <f>SUM(F4:$F$12)</f>
        <v>0.12066285444517999</v>
      </c>
    </row>
    <row r="5" spans="1:7" x14ac:dyDescent="0.25">
      <c r="A5" s="28">
        <v>41820</v>
      </c>
      <c r="B5" s="27">
        <v>42045</v>
      </c>
      <c r="C5" s="27">
        <v>42062</v>
      </c>
      <c r="D5" s="36">
        <v>9.363055748400001E-2</v>
      </c>
      <c r="E5" s="36">
        <f>SUM(D5:$D$12)</f>
        <v>0.25740484039907996</v>
      </c>
      <c r="F5" s="36">
        <v>1.212875272E-3</v>
      </c>
      <c r="G5" s="37">
        <f>SUM(F5:$F$12)</f>
        <v>0.12066285444517999</v>
      </c>
    </row>
    <row r="6" spans="1:7" x14ac:dyDescent="0.25">
      <c r="A6" s="28">
        <v>42046</v>
      </c>
      <c r="B6" s="27">
        <v>42228</v>
      </c>
      <c r="C6" s="27">
        <v>42247</v>
      </c>
      <c r="D6" s="36">
        <v>1.9027298101500004E-3</v>
      </c>
      <c r="E6" s="36">
        <f>SUM(D6:$D$12)</f>
        <v>0.16377428291508001</v>
      </c>
      <c r="F6" s="36">
        <v>1.0467687777430002E-2</v>
      </c>
      <c r="G6" s="37">
        <f>SUM(F6:$F$12)</f>
        <v>0.11944997917318001</v>
      </c>
    </row>
    <row r="7" spans="1:7" x14ac:dyDescent="0.25">
      <c r="A7" s="28">
        <v>42229</v>
      </c>
      <c r="B7" s="27">
        <v>42410</v>
      </c>
      <c r="C7" s="27">
        <v>42429</v>
      </c>
      <c r="D7" s="36">
        <v>5.5665914849999999E-5</v>
      </c>
      <c r="E7" s="36">
        <f>SUM(D7:$D$12)</f>
        <v>0.16187155310493001</v>
      </c>
      <c r="F7" s="36">
        <v>1.503467555707E-2</v>
      </c>
      <c r="G7" s="37">
        <f>SUM(F7:$F$12)</f>
        <v>0.10898229139575</v>
      </c>
    </row>
    <row r="8" spans="1:7" x14ac:dyDescent="0.25">
      <c r="A8" s="28">
        <v>42411</v>
      </c>
      <c r="B8" s="27">
        <v>42592</v>
      </c>
      <c r="C8" s="27">
        <v>42613</v>
      </c>
      <c r="D8" s="36">
        <v>1.0574125605119999E-2</v>
      </c>
      <c r="E8" s="36">
        <f>SUM(D8:$D$12)</f>
        <v>0.16181588719008</v>
      </c>
      <c r="F8" s="36">
        <v>1.7575385984999997E-2</v>
      </c>
      <c r="G8" s="37">
        <f>SUM(F8:$F$12)</f>
        <v>9.3947615838679999E-2</v>
      </c>
    </row>
    <row r="9" spans="1:7" x14ac:dyDescent="0.25">
      <c r="A9" s="28">
        <v>42593</v>
      </c>
      <c r="B9" s="27">
        <v>42778</v>
      </c>
      <c r="C9" s="27">
        <v>42794</v>
      </c>
      <c r="D9" s="36">
        <v>1.689156793896E-2</v>
      </c>
      <c r="E9" s="36">
        <f>SUM(D9:$D$12)</f>
        <v>0.15124176158496</v>
      </c>
      <c r="F9" s="36">
        <v>1.663819120908E-2</v>
      </c>
      <c r="G9" s="37">
        <f>SUM(F9:$F$12)</f>
        <v>7.6372229853680001E-2</v>
      </c>
    </row>
    <row r="10" spans="1:7" x14ac:dyDescent="0.25">
      <c r="A10" s="28">
        <v>42779</v>
      </c>
      <c r="B10" s="27">
        <v>42957</v>
      </c>
      <c r="C10" s="27">
        <v>42978</v>
      </c>
      <c r="D10" s="36">
        <v>2.6739133559999999E-2</v>
      </c>
      <c r="E10" s="36">
        <f>SUM(D10:$D$12)</f>
        <v>0.13435019364599998</v>
      </c>
      <c r="F10" s="36">
        <v>4.7728815884899994E-2</v>
      </c>
      <c r="G10" s="37">
        <f>SUM(F10:$F$12)</f>
        <v>5.9734038644599995E-2</v>
      </c>
    </row>
    <row r="11" spans="1:7" x14ac:dyDescent="0.25">
      <c r="A11" s="28">
        <v>42958</v>
      </c>
      <c r="B11" s="27">
        <v>43143</v>
      </c>
      <c r="C11" s="27">
        <v>43159</v>
      </c>
      <c r="D11" s="36">
        <v>0.10761106008599999</v>
      </c>
      <c r="E11" s="36">
        <f>SUM(D11:$D$12)</f>
        <v>0.10761106008599999</v>
      </c>
      <c r="F11" s="36">
        <v>1.20052227597E-2</v>
      </c>
      <c r="G11" s="37">
        <f>SUM(F11:$F$12)</f>
        <v>1.20052227597E-2</v>
      </c>
    </row>
    <row r="12" spans="1:7" ht="15.75" thickBot="1" x14ac:dyDescent="0.3">
      <c r="A12" s="9">
        <v>43144</v>
      </c>
      <c r="B12" s="10">
        <v>43259</v>
      </c>
      <c r="C12" s="10" t="s">
        <v>100</v>
      </c>
      <c r="D12" s="38">
        <v>0</v>
      </c>
      <c r="E12" s="38">
        <f>SUM(D12:$D$12)</f>
        <v>0</v>
      </c>
      <c r="F12" s="38">
        <v>0</v>
      </c>
      <c r="G12" s="39">
        <f>SUM(F12:$F$12)</f>
        <v>0</v>
      </c>
    </row>
    <row r="13" spans="1:7" ht="15.75" thickBot="1" x14ac:dyDescent="0.3"/>
    <row r="14" spans="1:7" ht="15.75" thickBot="1" x14ac:dyDescent="0.3">
      <c r="A14" s="299" t="s">
        <v>27</v>
      </c>
      <c r="B14" s="300"/>
      <c r="C14" s="300"/>
      <c r="D14" s="300"/>
      <c r="E14" s="300"/>
      <c r="F14" s="300"/>
      <c r="G14" s="301"/>
    </row>
    <row r="15" spans="1:7" x14ac:dyDescent="0.25">
      <c r="A15" s="302" t="s">
        <v>11</v>
      </c>
      <c r="B15" s="304" t="s">
        <v>12</v>
      </c>
      <c r="C15" s="304" t="s">
        <v>99</v>
      </c>
      <c r="D15" s="138" t="s">
        <v>15</v>
      </c>
      <c r="E15" s="34" t="s">
        <v>15</v>
      </c>
      <c r="F15" s="138" t="s">
        <v>4</v>
      </c>
      <c r="G15" s="21" t="s">
        <v>4</v>
      </c>
    </row>
    <row r="16" spans="1:7" x14ac:dyDescent="0.25">
      <c r="A16" s="303"/>
      <c r="B16" s="305"/>
      <c r="C16" s="305"/>
      <c r="D16" s="139" t="s">
        <v>16</v>
      </c>
      <c r="E16" s="35" t="s">
        <v>25</v>
      </c>
      <c r="F16" s="139" t="s">
        <v>16</v>
      </c>
      <c r="G16" s="30" t="s">
        <v>25</v>
      </c>
    </row>
    <row r="17" spans="1:7" x14ac:dyDescent="0.25">
      <c r="A17" s="28">
        <v>31048</v>
      </c>
      <c r="B17" s="27">
        <v>40531</v>
      </c>
      <c r="C17" s="27" t="s">
        <v>100</v>
      </c>
      <c r="D17" s="36">
        <v>0</v>
      </c>
      <c r="E17" s="36">
        <f>SUM(D17:$D$26)</f>
        <v>0.26900000000000002</v>
      </c>
      <c r="F17" s="36">
        <v>0</v>
      </c>
      <c r="G17" s="37">
        <f>SUM(F17:$F$26)</f>
        <v>0.1946</v>
      </c>
    </row>
    <row r="18" spans="1:7" x14ac:dyDescent="0.25">
      <c r="A18" s="28">
        <v>40532</v>
      </c>
      <c r="B18" s="27">
        <v>40581</v>
      </c>
      <c r="C18" s="27">
        <v>40602</v>
      </c>
      <c r="D18" s="36">
        <v>0.14880000000000002</v>
      </c>
      <c r="E18" s="36">
        <f>SUM(D18:$D$26)</f>
        <v>0.26900000000000002</v>
      </c>
      <c r="F18" s="36">
        <v>2.3099999999999999E-2</v>
      </c>
      <c r="G18" s="37">
        <f>SUM(F18:$F$26)</f>
        <v>0.1946</v>
      </c>
    </row>
    <row r="19" spans="1:7" x14ac:dyDescent="0.25">
      <c r="A19" s="28">
        <v>40582</v>
      </c>
      <c r="B19" s="27">
        <v>40764</v>
      </c>
      <c r="C19" s="27">
        <v>40786</v>
      </c>
      <c r="D19" s="36">
        <v>5.1399999999999994E-2</v>
      </c>
      <c r="E19" s="36">
        <f>SUM(D19:$D$26)</f>
        <v>0.1202</v>
      </c>
      <c r="F19" s="36">
        <v>4.9500000000000002E-2</v>
      </c>
      <c r="G19" s="37">
        <f>SUM(F19:$F$26)</f>
        <v>0.17149999999999999</v>
      </c>
    </row>
    <row r="20" spans="1:7" x14ac:dyDescent="0.25">
      <c r="A20" s="28">
        <v>40765</v>
      </c>
      <c r="B20" s="27">
        <v>40947</v>
      </c>
      <c r="C20" s="27">
        <v>40968</v>
      </c>
      <c r="D20" s="36">
        <v>5.9000000000000004E-2</v>
      </c>
      <c r="E20" s="36">
        <f>SUM(D20:$D$26)</f>
        <v>6.88E-2</v>
      </c>
      <c r="F20" s="36">
        <v>3.7200000000000004E-2</v>
      </c>
      <c r="G20" s="37">
        <f>SUM(F20:$F$26)</f>
        <v>0.12200000000000001</v>
      </c>
    </row>
    <row r="21" spans="1:7" x14ac:dyDescent="0.25">
      <c r="A21" s="28">
        <v>40948</v>
      </c>
      <c r="B21" s="27">
        <v>41133</v>
      </c>
      <c r="C21" s="27">
        <v>41152</v>
      </c>
      <c r="D21" s="36">
        <v>0</v>
      </c>
      <c r="E21" s="36">
        <f>SUM(D21:$D$26)</f>
        <v>9.7999999999999997E-3</v>
      </c>
      <c r="F21" s="36">
        <v>1E-4</v>
      </c>
      <c r="G21" s="37">
        <f>SUM(F21:$F$26)</f>
        <v>8.48E-2</v>
      </c>
    </row>
    <row r="22" spans="1:7" x14ac:dyDescent="0.25">
      <c r="A22" s="28">
        <v>41134</v>
      </c>
      <c r="B22" s="27">
        <v>41312</v>
      </c>
      <c r="C22" s="27">
        <v>41333</v>
      </c>
      <c r="D22" s="36">
        <v>0</v>
      </c>
      <c r="E22" s="36">
        <f>SUM(D22:$D$26)</f>
        <v>9.7999999999999997E-3</v>
      </c>
      <c r="F22" s="36">
        <v>0</v>
      </c>
      <c r="G22" s="37">
        <f>SUM(F22:$F$26)</f>
        <v>8.4699999999999998E-2</v>
      </c>
    </row>
    <row r="23" spans="1:7" x14ac:dyDescent="0.25">
      <c r="A23" s="28">
        <v>41313</v>
      </c>
      <c r="B23" s="27">
        <v>41494</v>
      </c>
      <c r="C23" s="27">
        <v>41516</v>
      </c>
      <c r="D23" s="36">
        <v>7.000000000000001E-4</v>
      </c>
      <c r="E23" s="36">
        <f>SUM(D23:$D$26)</f>
        <v>9.7999999999999997E-3</v>
      </c>
      <c r="F23" s="36">
        <v>5.8099999999999999E-2</v>
      </c>
      <c r="G23" s="37">
        <f>SUM(F23:$F$26)</f>
        <v>8.4699999999999998E-2</v>
      </c>
    </row>
    <row r="24" spans="1:7" x14ac:dyDescent="0.25">
      <c r="A24" s="28">
        <v>41495</v>
      </c>
      <c r="B24" s="27">
        <v>41676</v>
      </c>
      <c r="C24" s="27">
        <v>41698</v>
      </c>
      <c r="D24" s="36">
        <v>1.6000000000000001E-3</v>
      </c>
      <c r="E24" s="36">
        <f>SUM(D24:$D$26)</f>
        <v>9.1000000000000004E-3</v>
      </c>
      <c r="F24" s="36">
        <v>2.12E-2</v>
      </c>
      <c r="G24" s="37">
        <f>SUM(F24:$F$26)</f>
        <v>2.6599999999999999E-2</v>
      </c>
    </row>
    <row r="25" spans="1:7" s="22" customFormat="1" x14ac:dyDescent="0.25">
      <c r="A25" s="28">
        <v>41677</v>
      </c>
      <c r="B25" s="27">
        <v>41814</v>
      </c>
      <c r="C25" s="27">
        <v>41880</v>
      </c>
      <c r="D25" s="36">
        <v>7.4999999999999997E-3</v>
      </c>
      <c r="E25" s="36">
        <f>SUM(D25:$D$26)</f>
        <v>7.4999999999999997E-3</v>
      </c>
      <c r="F25" s="36">
        <v>5.4000000000000003E-3</v>
      </c>
      <c r="G25" s="37">
        <f>SUM(F25:$F$26)</f>
        <v>5.4000000000000003E-3</v>
      </c>
    </row>
    <row r="26" spans="1:7" ht="15.75" thickBot="1" x14ac:dyDescent="0.3">
      <c r="A26" s="9">
        <v>41815</v>
      </c>
      <c r="B26" s="10">
        <v>41819</v>
      </c>
      <c r="C26" s="10" t="s">
        <v>100</v>
      </c>
      <c r="D26" s="38">
        <v>0</v>
      </c>
      <c r="E26" s="38">
        <f>SUM(D26:$D$26)</f>
        <v>0</v>
      </c>
      <c r="F26" s="38">
        <v>0</v>
      </c>
      <c r="G26" s="39">
        <f>SUM(F26:$F$26)</f>
        <v>0</v>
      </c>
    </row>
    <row r="27" spans="1:7" ht="15.75" thickBot="1" x14ac:dyDescent="0.3"/>
    <row r="28" spans="1:7" ht="15.75" thickBot="1" x14ac:dyDescent="0.3">
      <c r="A28" s="299" t="s">
        <v>28</v>
      </c>
      <c r="B28" s="300"/>
      <c r="C28" s="300"/>
      <c r="D28" s="300"/>
      <c r="E28" s="300"/>
      <c r="F28" s="300"/>
      <c r="G28" s="301"/>
    </row>
    <row r="29" spans="1:7" x14ac:dyDescent="0.25">
      <c r="A29" s="302" t="s">
        <v>11</v>
      </c>
      <c r="B29" s="304" t="s">
        <v>12</v>
      </c>
      <c r="C29" s="304" t="s">
        <v>99</v>
      </c>
      <c r="D29" s="150" t="s">
        <v>15</v>
      </c>
      <c r="E29" s="34" t="s">
        <v>15</v>
      </c>
      <c r="F29" s="150" t="s">
        <v>4</v>
      </c>
      <c r="G29" s="21" t="s">
        <v>4</v>
      </c>
    </row>
    <row r="30" spans="1:7" x14ac:dyDescent="0.25">
      <c r="A30" s="303"/>
      <c r="B30" s="305"/>
      <c r="C30" s="305"/>
      <c r="D30" s="151" t="s">
        <v>16</v>
      </c>
      <c r="E30" s="35" t="s">
        <v>25</v>
      </c>
      <c r="F30" s="151" t="s">
        <v>16</v>
      </c>
      <c r="G30" s="30" t="s">
        <v>25</v>
      </c>
    </row>
    <row r="31" spans="1:7" s="22" customFormat="1" x14ac:dyDescent="0.25">
      <c r="A31" s="28">
        <v>31048</v>
      </c>
      <c r="B31" s="27">
        <v>38172</v>
      </c>
      <c r="C31" s="27" t="s">
        <v>100</v>
      </c>
      <c r="D31" s="151">
        <v>0</v>
      </c>
      <c r="E31" s="36">
        <f>SUM(D31:$D$44)</f>
        <v>1.5305999999999997</v>
      </c>
      <c r="F31" s="151">
        <v>0</v>
      </c>
      <c r="G31" s="37">
        <f>SUM(F31:$F$44)</f>
        <v>1.6359000000000001</v>
      </c>
    </row>
    <row r="32" spans="1:7" x14ac:dyDescent="0.25">
      <c r="A32" s="28">
        <v>38173</v>
      </c>
      <c r="B32" s="27">
        <v>38390</v>
      </c>
      <c r="C32" s="27">
        <v>38411</v>
      </c>
      <c r="D32" s="36">
        <v>8.7499999999999994E-2</v>
      </c>
      <c r="E32" s="36">
        <f>SUM(D32:$D$44)</f>
        <v>1.5305999999999997</v>
      </c>
      <c r="F32" s="36">
        <v>0.11560000000000001</v>
      </c>
      <c r="G32" s="37">
        <f>SUM(F32:$F$44)</f>
        <v>1.6359000000000001</v>
      </c>
    </row>
    <row r="33" spans="1:7" x14ac:dyDescent="0.25">
      <c r="A33" s="28">
        <v>38391</v>
      </c>
      <c r="B33" s="27">
        <v>38572</v>
      </c>
      <c r="C33" s="27">
        <v>38595</v>
      </c>
      <c r="D33" s="36">
        <v>4.1500000000000002E-2</v>
      </c>
      <c r="E33" s="36">
        <f>SUM(D33:$D$44)</f>
        <v>1.4430999999999998</v>
      </c>
      <c r="F33" s="36">
        <v>0.114</v>
      </c>
      <c r="G33" s="37">
        <f>SUM(F33:$F$44)</f>
        <v>1.5203000000000002</v>
      </c>
    </row>
    <row r="34" spans="1:7" x14ac:dyDescent="0.25">
      <c r="A34" s="28">
        <v>38573</v>
      </c>
      <c r="B34" s="27">
        <v>38754</v>
      </c>
      <c r="C34" s="27">
        <v>38776</v>
      </c>
      <c r="D34" s="36">
        <v>4.6899999999999997E-2</v>
      </c>
      <c r="E34" s="36">
        <f>SUM(D34:$D$44)</f>
        <v>1.4015999999999997</v>
      </c>
      <c r="F34" s="36">
        <v>0.13300000000000001</v>
      </c>
      <c r="G34" s="37">
        <f>SUM(F34:$F$44)</f>
        <v>1.4063000000000001</v>
      </c>
    </row>
    <row r="35" spans="1:7" x14ac:dyDescent="0.25">
      <c r="A35" s="28">
        <v>38755</v>
      </c>
      <c r="B35" s="27">
        <v>38937</v>
      </c>
      <c r="C35" s="27">
        <v>38960</v>
      </c>
      <c r="D35" s="36">
        <v>0.15509999999999999</v>
      </c>
      <c r="E35" s="36">
        <f>SUM(D35:$D$44)</f>
        <v>1.3546999999999998</v>
      </c>
      <c r="F35" s="36">
        <v>0.11609999999999999</v>
      </c>
      <c r="G35" s="37">
        <f>SUM(F35:$F$44)</f>
        <v>1.2733000000000001</v>
      </c>
    </row>
    <row r="36" spans="1:7" x14ac:dyDescent="0.25">
      <c r="A36" s="28">
        <v>38938</v>
      </c>
      <c r="B36" s="27">
        <v>39119</v>
      </c>
      <c r="C36" s="27">
        <v>39141</v>
      </c>
      <c r="D36" s="36">
        <v>0.1008</v>
      </c>
      <c r="E36" s="36">
        <f>SUM(D36:$D$44)</f>
        <v>1.1996</v>
      </c>
      <c r="F36" s="36">
        <v>0.13470000000000001</v>
      </c>
      <c r="G36" s="37">
        <f>SUM(F36:$F$44)</f>
        <v>1.1572</v>
      </c>
    </row>
    <row r="37" spans="1:7" x14ac:dyDescent="0.25">
      <c r="A37" s="28">
        <v>39120</v>
      </c>
      <c r="B37" s="27">
        <v>39301</v>
      </c>
      <c r="C37" s="27">
        <v>39325</v>
      </c>
      <c r="D37" s="36">
        <v>0.1108</v>
      </c>
      <c r="E37" s="36">
        <f>SUM(D37:$D$44)</f>
        <v>1.0988</v>
      </c>
      <c r="F37" s="36">
        <v>0.21030000000000001</v>
      </c>
      <c r="G37" s="37">
        <f>SUM(F37:$F$44)</f>
        <v>1.0225</v>
      </c>
    </row>
    <row r="38" spans="1:7" x14ac:dyDescent="0.25">
      <c r="A38" s="28">
        <v>39302</v>
      </c>
      <c r="B38" s="27">
        <v>39488</v>
      </c>
      <c r="C38" s="27">
        <v>39507</v>
      </c>
      <c r="D38" s="36">
        <v>8.7799999999999989E-2</v>
      </c>
      <c r="E38" s="36">
        <f>SUM(D38:$D$44)</f>
        <v>0.98799999999999999</v>
      </c>
      <c r="F38" s="36">
        <v>0.17559999999999998</v>
      </c>
      <c r="G38" s="37">
        <f>SUM(F38:$F$44)</f>
        <v>0.81219999999999981</v>
      </c>
    </row>
    <row r="39" spans="1:7" x14ac:dyDescent="0.25">
      <c r="A39" s="28">
        <v>39489</v>
      </c>
      <c r="B39" s="27">
        <v>39670</v>
      </c>
      <c r="C39" s="27">
        <v>39689</v>
      </c>
      <c r="D39" s="36">
        <v>0.19039999999999999</v>
      </c>
      <c r="E39" s="36">
        <f>SUM(D39:$D$44)</f>
        <v>0.9002</v>
      </c>
      <c r="F39" s="36">
        <v>0.13539999999999999</v>
      </c>
      <c r="G39" s="37">
        <f>SUM(F39:$F$44)</f>
        <v>0.63659999999999983</v>
      </c>
    </row>
    <row r="40" spans="1:7" x14ac:dyDescent="0.25">
      <c r="A40" s="41">
        <v>39671</v>
      </c>
      <c r="B40" s="6">
        <v>39845</v>
      </c>
      <c r="C40" s="6">
        <v>39871</v>
      </c>
      <c r="D40" s="36">
        <v>0.17519999999999999</v>
      </c>
      <c r="E40" s="36">
        <f>SUM(D40:$D$44)</f>
        <v>0.70979999999999999</v>
      </c>
      <c r="F40" s="36">
        <v>9.35E-2</v>
      </c>
      <c r="G40" s="37">
        <f>SUM(F40:$F$44)</f>
        <v>0.50119999999999987</v>
      </c>
    </row>
    <row r="41" spans="1:7" x14ac:dyDescent="0.25">
      <c r="A41" s="41">
        <v>39846</v>
      </c>
      <c r="B41" s="40">
        <v>40035</v>
      </c>
      <c r="C41" s="40">
        <v>40056</v>
      </c>
      <c r="D41" s="36">
        <v>0.18049999999999999</v>
      </c>
      <c r="E41" s="36">
        <f>SUM(D41:$D$44)</f>
        <v>0.53459999999999996</v>
      </c>
      <c r="F41" s="36">
        <v>0.18899999999999997</v>
      </c>
      <c r="G41" s="37">
        <f>SUM(F41:$F$44)</f>
        <v>0.40769999999999995</v>
      </c>
    </row>
    <row r="42" spans="1:7" x14ac:dyDescent="0.25">
      <c r="A42" s="41">
        <v>40036</v>
      </c>
      <c r="B42" s="40">
        <v>40213</v>
      </c>
      <c r="C42" s="40">
        <v>40235</v>
      </c>
      <c r="D42" s="36">
        <v>0.18049999999999999</v>
      </c>
      <c r="E42" s="36">
        <f>SUM(D42:$D$44)</f>
        <v>0.35409999999999997</v>
      </c>
      <c r="F42" s="36">
        <v>0.18899999999999997</v>
      </c>
      <c r="G42" s="37">
        <f>SUM(F42:$F$44)</f>
        <v>0.21869999999999998</v>
      </c>
    </row>
    <row r="43" spans="1:7" s="22" customFormat="1" x14ac:dyDescent="0.25">
      <c r="A43" s="41">
        <v>40214</v>
      </c>
      <c r="B43" s="40">
        <v>40399</v>
      </c>
      <c r="C43" s="40">
        <v>40421</v>
      </c>
      <c r="D43" s="36">
        <v>0.1736</v>
      </c>
      <c r="E43" s="36">
        <f>SUM(D43:$D$44)</f>
        <v>0.1736</v>
      </c>
      <c r="F43" s="36">
        <v>2.9700000000000001E-2</v>
      </c>
      <c r="G43" s="37">
        <f>SUM(F43:$F$44)</f>
        <v>2.9700000000000001E-2</v>
      </c>
    </row>
    <row r="44" spans="1:7" ht="15.75" thickBot="1" x14ac:dyDescent="0.3">
      <c r="A44" s="9">
        <v>40400</v>
      </c>
      <c r="B44" s="42">
        <v>40531</v>
      </c>
      <c r="C44" s="42" t="s">
        <v>100</v>
      </c>
      <c r="D44" s="38">
        <v>0</v>
      </c>
      <c r="E44" s="38">
        <f>SUM(D44:$D$44)</f>
        <v>0</v>
      </c>
      <c r="F44" s="38">
        <v>0</v>
      </c>
      <c r="G44" s="39">
        <f>SUM(F44:$F$44)</f>
        <v>0</v>
      </c>
    </row>
    <row r="45" spans="1:7" hidden="1" x14ac:dyDescent="0.25">
      <c r="A45" s="40"/>
      <c r="B45" s="40"/>
      <c r="C45" s="40"/>
      <c r="D45" s="16"/>
      <c r="E45" s="16"/>
      <c r="F45" s="16"/>
      <c r="G45" s="16"/>
    </row>
  </sheetData>
  <sheetProtection password="B45D" sheet="1" objects="1" scenarios="1" selectLockedCells="1" selectUnlockedCells="1"/>
  <mergeCells count="12">
    <mergeCell ref="A28:G28"/>
    <mergeCell ref="A29:A30"/>
    <mergeCell ref="B29:B30"/>
    <mergeCell ref="A1:G1"/>
    <mergeCell ref="A2:A3"/>
    <mergeCell ref="B2:B3"/>
    <mergeCell ref="A14:G14"/>
    <mergeCell ref="A15:A16"/>
    <mergeCell ref="B15:B16"/>
    <mergeCell ref="C2:C3"/>
    <mergeCell ref="C15:C16"/>
    <mergeCell ref="C29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7"/>
  <sheetViews>
    <sheetView zoomScaleNormal="100" workbookViewId="0">
      <selection activeCell="B8" sqref="B8"/>
    </sheetView>
  </sheetViews>
  <sheetFormatPr defaultColWidth="0" defaultRowHeight="15" zeroHeight="1" x14ac:dyDescent="0.25"/>
  <cols>
    <col min="1" max="1" width="18.140625" style="152" customWidth="1"/>
    <col min="2" max="11" width="10.7109375" style="152" bestFit="1" customWidth="1"/>
    <col min="12" max="16384" width="9.140625" style="179" hidden="1"/>
  </cols>
  <sheetData>
    <row r="1" spans="1:11" ht="15.75" x14ac:dyDescent="0.25">
      <c r="A1" s="306" t="s">
        <v>169</v>
      </c>
      <c r="C1" s="179"/>
      <c r="D1" s="179"/>
      <c r="H1" s="179"/>
      <c r="I1" s="179"/>
      <c r="J1" s="179"/>
      <c r="K1" s="307" t="str">
        <f>IF(ISBLANK('Summary Sheet'!C1),"",'Summary Sheet'!C1)</f>
        <v/>
      </c>
    </row>
    <row r="2" spans="1:11" x14ac:dyDescent="0.25">
      <c r="A2" s="266" t="s">
        <v>156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s="263" customFormat="1" ht="15.75" x14ac:dyDescent="0.25"/>
    <row r="4" spans="1:11" x14ac:dyDescent="0.25">
      <c r="A4" s="264" t="s">
        <v>157</v>
      </c>
    </row>
    <row r="5" spans="1:11" x14ac:dyDescent="0.25">
      <c r="A5" s="267" t="s">
        <v>160</v>
      </c>
    </row>
    <row r="6" spans="1:11" x14ac:dyDescent="0.25">
      <c r="A6" s="152" t="s">
        <v>101</v>
      </c>
      <c r="B6" s="180">
        <v>1</v>
      </c>
      <c r="C6" s="180">
        <v>2</v>
      </c>
      <c r="D6" s="180">
        <v>3</v>
      </c>
      <c r="E6" s="180">
        <v>4</v>
      </c>
      <c r="F6" s="180">
        <v>5</v>
      </c>
      <c r="G6" s="180">
        <v>6</v>
      </c>
      <c r="H6" s="180">
        <v>7</v>
      </c>
      <c r="I6" s="180">
        <v>8</v>
      </c>
      <c r="J6" s="180">
        <v>9</v>
      </c>
      <c r="K6" s="180">
        <v>10</v>
      </c>
    </row>
    <row r="7" spans="1:11" x14ac:dyDescent="0.25">
      <c r="A7" s="152" t="s">
        <v>91</v>
      </c>
      <c r="B7" s="268" t="str">
        <f>IF(ISBLANK('Summary Sheet'!C3),"",'Summary Sheet'!C3)</f>
        <v/>
      </c>
      <c r="C7" s="268" t="str">
        <f>IF(ISBLANK('Summary Sheet'!D3),"",'Summary Sheet'!D3)</f>
        <v/>
      </c>
      <c r="D7" s="268" t="str">
        <f>IF(ISBLANK('Summary Sheet'!E3),"",'Summary Sheet'!E3)</f>
        <v/>
      </c>
      <c r="E7" s="268" t="str">
        <f>IF(ISBLANK('Summary Sheet'!F3),"",'Summary Sheet'!F3)</f>
        <v/>
      </c>
      <c r="F7" s="268" t="str">
        <f>IF(ISBLANK('Summary Sheet'!G3),"",'Summary Sheet'!G3)</f>
        <v/>
      </c>
      <c r="G7" s="268" t="str">
        <f>IF(ISBLANK('Summary Sheet'!H3),"",'Summary Sheet'!H3)</f>
        <v/>
      </c>
      <c r="H7" s="268" t="str">
        <f>IF(ISBLANK('Summary Sheet'!I3),"",'Summary Sheet'!I3)</f>
        <v/>
      </c>
      <c r="I7" s="268" t="str">
        <f>IF(ISBLANK('Summary Sheet'!J3),"",'Summary Sheet'!J3)</f>
        <v/>
      </c>
      <c r="J7" s="268" t="str">
        <f>IF(ISBLANK('Summary Sheet'!K3),"",'Summary Sheet'!K3)</f>
        <v/>
      </c>
      <c r="K7" s="268" t="str">
        <f>IF(ISBLANK('Summary Sheet'!L3),"",'Summary Sheet'!L3)</f>
        <v/>
      </c>
    </row>
    <row r="8" spans="1:11" s="183" customFormat="1" x14ac:dyDescent="0.25">
      <c r="A8" s="152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s="183" customFormat="1" x14ac:dyDescent="0.25">
      <c r="A9" s="152" t="s">
        <v>134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s="183" customFormat="1" x14ac:dyDescent="0.25">
      <c r="A10" s="152" t="s">
        <v>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152" t="s">
        <v>0</v>
      </c>
      <c r="B11" s="180" t="str">
        <f>IF(SUM(B8:B10)=0,"",SUM(B8:B10))</f>
        <v/>
      </c>
      <c r="C11" s="180" t="str">
        <f t="shared" ref="C11:K11" si="0">IF(SUM(C8:C10)=0,"",SUM(C8:C10))</f>
        <v/>
      </c>
      <c r="D11" s="180" t="str">
        <f t="shared" si="0"/>
        <v/>
      </c>
      <c r="E11" s="180" t="str">
        <f t="shared" si="0"/>
        <v/>
      </c>
      <c r="F11" s="180" t="str">
        <f t="shared" si="0"/>
        <v/>
      </c>
      <c r="G11" s="180" t="str">
        <f t="shared" si="0"/>
        <v/>
      </c>
      <c r="H11" s="180" t="str">
        <f t="shared" si="0"/>
        <v/>
      </c>
      <c r="I11" s="180" t="str">
        <f t="shared" si="0"/>
        <v/>
      </c>
      <c r="J11" s="180" t="str">
        <f t="shared" si="0"/>
        <v/>
      </c>
      <c r="K11" s="180" t="str">
        <f t="shared" si="0"/>
        <v/>
      </c>
    </row>
    <row r="12" spans="1:11" x14ac:dyDescent="0.25">
      <c r="B12" s="265"/>
      <c r="C12" s="265"/>
      <c r="D12" s="265"/>
      <c r="E12" s="265"/>
      <c r="F12" s="265"/>
      <c r="G12" s="265"/>
      <c r="H12" s="265"/>
      <c r="I12" s="265"/>
      <c r="J12" s="265"/>
      <c r="K12" s="265"/>
    </row>
    <row r="13" spans="1:11" x14ac:dyDescent="0.25">
      <c r="A13" s="264" t="s">
        <v>158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1" x14ac:dyDescent="0.25">
      <c r="A14" s="267" t="s">
        <v>161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</row>
    <row r="15" spans="1:11" x14ac:dyDescent="0.25">
      <c r="A15" s="152" t="s">
        <v>101</v>
      </c>
      <c r="B15" s="180">
        <v>1</v>
      </c>
      <c r="C15" s="180">
        <v>2</v>
      </c>
      <c r="D15" s="180">
        <v>3</v>
      </c>
      <c r="E15" s="180">
        <v>4</v>
      </c>
      <c r="F15" s="180">
        <v>5</v>
      </c>
      <c r="G15" s="180">
        <v>6</v>
      </c>
      <c r="H15" s="180">
        <v>7</v>
      </c>
      <c r="I15" s="180">
        <v>8</v>
      </c>
      <c r="J15" s="180">
        <v>9</v>
      </c>
      <c r="K15" s="180">
        <v>10</v>
      </c>
    </row>
    <row r="16" spans="1:11" x14ac:dyDescent="0.25">
      <c r="A16" s="152" t="s">
        <v>91</v>
      </c>
      <c r="B16" s="268" t="str">
        <f>IF(ISBLANK('Summary Sheet'!C3),"",'Summary Sheet'!C3)</f>
        <v/>
      </c>
      <c r="C16" s="268" t="str">
        <f>IF(ISBLANK('Summary Sheet'!D3),"",'Summary Sheet'!D3)</f>
        <v/>
      </c>
      <c r="D16" s="268" t="str">
        <f>IF(ISBLANK('Summary Sheet'!E3),"",'Summary Sheet'!E3)</f>
        <v/>
      </c>
      <c r="E16" s="268" t="str">
        <f>IF(ISBLANK('Summary Sheet'!F3),"",'Summary Sheet'!F3)</f>
        <v/>
      </c>
      <c r="F16" s="268" t="str">
        <f>IF(ISBLANK('Summary Sheet'!G3),"",'Summary Sheet'!G3)</f>
        <v/>
      </c>
      <c r="G16" s="268" t="str">
        <f>IF(ISBLANK('Summary Sheet'!H3),"",'Summary Sheet'!H3)</f>
        <v/>
      </c>
      <c r="H16" s="268" t="str">
        <f>IF(ISBLANK('Summary Sheet'!I3),"",'Summary Sheet'!I3)</f>
        <v/>
      </c>
      <c r="I16" s="268" t="str">
        <f>IF(ISBLANK('Summary Sheet'!J3),"",'Summary Sheet'!J3)</f>
        <v/>
      </c>
      <c r="J16" s="268" t="str">
        <f>IF(ISBLANK('Summary Sheet'!K3),"",'Summary Sheet'!K3)</f>
        <v/>
      </c>
      <c r="K16" s="268" t="str">
        <f>IF(ISBLANK('Summary Sheet'!L3),"",'Summary Sheet'!L3)</f>
        <v/>
      </c>
    </row>
    <row r="17" spans="1:11" x14ac:dyDescent="0.25">
      <c r="A17" s="152" t="s">
        <v>14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 x14ac:dyDescent="0.25">
      <c r="A18" s="152" t="s">
        <v>134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1" x14ac:dyDescent="0.25">
      <c r="A19" s="152" t="s">
        <v>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x14ac:dyDescent="0.25">
      <c r="A20" s="152" t="s">
        <v>0</v>
      </c>
      <c r="B20" s="180" t="str">
        <f>IF(SUM(B17:B19)=0,"",SUM(B17:B19))</f>
        <v/>
      </c>
      <c r="C20" s="180" t="str">
        <f t="shared" ref="C20" si="1">IF(SUM(C17:C19)=0,"",SUM(C17:C19))</f>
        <v/>
      </c>
      <c r="D20" s="180" t="str">
        <f t="shared" ref="D20" si="2">IF(SUM(D17:D19)=0,"",SUM(D17:D19))</f>
        <v/>
      </c>
      <c r="E20" s="180" t="str">
        <f t="shared" ref="E20" si="3">IF(SUM(E17:E19)=0,"",SUM(E17:E19))</f>
        <v/>
      </c>
      <c r="F20" s="180" t="str">
        <f t="shared" ref="F20" si="4">IF(SUM(F17:F19)=0,"",SUM(F17:F19))</f>
        <v/>
      </c>
      <c r="G20" s="180" t="str">
        <f t="shared" ref="G20" si="5">IF(SUM(G17:G19)=0,"",SUM(G17:G19))</f>
        <v/>
      </c>
      <c r="H20" s="180" t="str">
        <f t="shared" ref="H20" si="6">IF(SUM(H17:H19)=0,"",SUM(H17:H19))</f>
        <v/>
      </c>
      <c r="I20" s="180" t="str">
        <f t="shared" ref="I20" si="7">IF(SUM(I17:I19)=0,"",SUM(I17:I19))</f>
        <v/>
      </c>
      <c r="J20" s="180" t="str">
        <f t="shared" ref="J20" si="8">IF(SUM(J17:J19)=0,"",SUM(J17:J19))</f>
        <v/>
      </c>
      <c r="K20" s="180" t="str">
        <f t="shared" ref="K20" si="9">IF(SUM(K17:K19)=0,"",SUM(K17:K19))</f>
        <v/>
      </c>
    </row>
    <row r="21" spans="1:11" x14ac:dyDescent="0.25"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spans="1:11" x14ac:dyDescent="0.25">
      <c r="A22" s="264" t="s">
        <v>159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11" x14ac:dyDescent="0.25">
      <c r="A23" s="267" t="s">
        <v>162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</row>
    <row r="24" spans="1:11" x14ac:dyDescent="0.25">
      <c r="A24" s="152" t="s">
        <v>101</v>
      </c>
      <c r="B24" s="180">
        <v>1</v>
      </c>
      <c r="C24" s="180">
        <v>2</v>
      </c>
      <c r="D24" s="180">
        <v>3</v>
      </c>
      <c r="E24" s="180">
        <v>4</v>
      </c>
      <c r="F24" s="180">
        <v>5</v>
      </c>
      <c r="G24" s="180">
        <v>6</v>
      </c>
      <c r="H24" s="180">
        <v>7</v>
      </c>
      <c r="I24" s="180">
        <v>8</v>
      </c>
      <c r="J24" s="180">
        <v>9</v>
      </c>
      <c r="K24" s="180">
        <v>10</v>
      </c>
    </row>
    <row r="25" spans="1:11" x14ac:dyDescent="0.25">
      <c r="A25" s="152" t="s">
        <v>91</v>
      </c>
      <c r="B25" s="268" t="str">
        <f>IF(ISBLANK('Summary Sheet'!C3),"",'Summary Sheet'!C3)</f>
        <v/>
      </c>
      <c r="C25" s="268" t="str">
        <f>IF(ISBLANK('Summary Sheet'!D3),"",'Summary Sheet'!D3)</f>
        <v/>
      </c>
      <c r="D25" s="268" t="str">
        <f>IF(ISBLANK('Summary Sheet'!E3),"",'Summary Sheet'!E3)</f>
        <v/>
      </c>
      <c r="E25" s="268" t="str">
        <f>IF(ISBLANK('Summary Sheet'!F3),"",'Summary Sheet'!F3)</f>
        <v/>
      </c>
      <c r="F25" s="268" t="str">
        <f>IF(ISBLANK('Summary Sheet'!G3),"",'Summary Sheet'!G3)</f>
        <v/>
      </c>
      <c r="G25" s="268" t="str">
        <f>IF(ISBLANK('Summary Sheet'!H3),"",'Summary Sheet'!H3)</f>
        <v/>
      </c>
      <c r="H25" s="268" t="str">
        <f>IF(ISBLANK('Summary Sheet'!I3),"",'Summary Sheet'!I3)</f>
        <v/>
      </c>
      <c r="I25" s="268" t="str">
        <f>IF(ISBLANK('Summary Sheet'!J3),"",'Summary Sheet'!J3)</f>
        <v/>
      </c>
      <c r="J25" s="268" t="str">
        <f>IF(ISBLANK('Summary Sheet'!K3),"",'Summary Sheet'!K3)</f>
        <v/>
      </c>
      <c r="K25" s="268" t="str">
        <f>IF(ISBLANK('Summary Sheet'!L3),"",'Summary Sheet'!L3)</f>
        <v/>
      </c>
    </row>
    <row r="26" spans="1:11" x14ac:dyDescent="0.25">
      <c r="A26" s="152" t="s">
        <v>13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x14ac:dyDescent="0.25">
      <c r="A27" s="152" t="s">
        <v>1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x14ac:dyDescent="0.25">
      <c r="A28" s="152" t="s">
        <v>4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x14ac:dyDescent="0.25">
      <c r="A29" s="152" t="s">
        <v>0</v>
      </c>
      <c r="B29" s="180" t="str">
        <f>IF(SUM(B26:B28)=0,"",SUM(B26:B28))</f>
        <v/>
      </c>
      <c r="C29" s="180" t="str">
        <f t="shared" ref="C29" si="10">IF(SUM(C26:C28)=0,"",SUM(C26:C28))</f>
        <v/>
      </c>
      <c r="D29" s="180" t="str">
        <f t="shared" ref="D29" si="11">IF(SUM(D26:D28)=0,"",SUM(D26:D28))</f>
        <v/>
      </c>
      <c r="E29" s="180" t="str">
        <f t="shared" ref="E29" si="12">IF(SUM(E26:E28)=0,"",SUM(E26:E28))</f>
        <v/>
      </c>
      <c r="F29" s="180" t="str">
        <f t="shared" ref="F29" si="13">IF(SUM(F26:F28)=0,"",SUM(F26:F28))</f>
        <v/>
      </c>
      <c r="G29" s="180" t="str">
        <f t="shared" ref="G29" si="14">IF(SUM(G26:G28)=0,"",SUM(G26:G28))</f>
        <v/>
      </c>
      <c r="H29" s="180" t="str">
        <f t="shared" ref="H29" si="15">IF(SUM(H26:H28)=0,"",SUM(H26:H28))</f>
        <v/>
      </c>
      <c r="I29" s="180" t="str">
        <f t="shared" ref="I29" si="16">IF(SUM(I26:I28)=0,"",SUM(I26:I28))</f>
        <v/>
      </c>
      <c r="J29" s="180" t="str">
        <f t="shared" ref="J29" si="17">IF(SUM(J26:J28)=0,"",SUM(J26:J28))</f>
        <v/>
      </c>
      <c r="K29" s="180" t="str">
        <f t="shared" ref="K29" si="18">IF(SUM(K26:K28)=0,"",SUM(K26:K28))</f>
        <v/>
      </c>
    </row>
    <row r="30" spans="1:11" hidden="1" x14ac:dyDescent="0.25">
      <c r="B30" s="180" t="str">
        <f t="shared" ref="B30:K30" si="19">IF(SUM(B26:B28)&gt;0,SUM(B26:B28),IF(SUM(B17:B19)&gt;0,SUM(B17:B19),IF(SUM(B8:B10)&gt;0,SUM(B8:B10),"")))</f>
        <v/>
      </c>
      <c r="C30" s="180" t="str">
        <f t="shared" si="19"/>
        <v/>
      </c>
      <c r="D30" s="180" t="str">
        <f t="shared" si="19"/>
        <v/>
      </c>
      <c r="E30" s="180" t="str">
        <f t="shared" si="19"/>
        <v/>
      </c>
      <c r="F30" s="180" t="str">
        <f t="shared" si="19"/>
        <v/>
      </c>
      <c r="G30" s="180" t="str">
        <f t="shared" si="19"/>
        <v/>
      </c>
      <c r="H30" s="180" t="str">
        <f t="shared" si="19"/>
        <v/>
      </c>
      <c r="I30" s="180" t="str">
        <f t="shared" si="19"/>
        <v/>
      </c>
      <c r="J30" s="180" t="str">
        <f t="shared" si="19"/>
        <v/>
      </c>
      <c r="K30" s="180" t="str">
        <f t="shared" si="19"/>
        <v/>
      </c>
    </row>
    <row r="31" spans="1:11" hidden="1" x14ac:dyDescent="0.25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5"/>
    </row>
    <row r="32" spans="1:11" hidden="1" x14ac:dyDescent="0.25">
      <c r="A32" s="153" t="s">
        <v>111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</row>
    <row r="33" spans="1:11" hidden="1" x14ac:dyDescent="0.25"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hidden="1" x14ac:dyDescent="0.25">
      <c r="A34" s="152" t="s">
        <v>91</v>
      </c>
      <c r="B34" s="172" t="str">
        <f>IF(ISBLANK('Summary Sheet'!C3),"",'Summary Sheet'!C3)</f>
        <v/>
      </c>
      <c r="C34" s="172" t="str">
        <f>IF(ISBLANK('Summary Sheet'!D3),"",'Summary Sheet'!D3)</f>
        <v/>
      </c>
      <c r="D34" s="172" t="str">
        <f>IF(ISBLANK('Summary Sheet'!E3),"",'Summary Sheet'!E3)</f>
        <v/>
      </c>
      <c r="E34" s="172" t="str">
        <f>IF(ISBLANK('Summary Sheet'!F3),"",'Summary Sheet'!F3)</f>
        <v/>
      </c>
      <c r="F34" s="172" t="str">
        <f>IF(ISBLANK('Summary Sheet'!G3),"",'Summary Sheet'!G3)</f>
        <v/>
      </c>
      <c r="G34" s="172" t="str">
        <f>IF(ISBLANK('Summary Sheet'!H3),"",'Summary Sheet'!H3)</f>
        <v/>
      </c>
      <c r="H34" s="172" t="str">
        <f>IF(ISBLANK('Summary Sheet'!I3),"",'Summary Sheet'!I3)</f>
        <v/>
      </c>
      <c r="I34" s="172" t="str">
        <f>IF(ISBLANK('Summary Sheet'!J3),"",'Summary Sheet'!J3)</f>
        <v/>
      </c>
      <c r="J34" s="172" t="str">
        <f>IF(ISBLANK('Summary Sheet'!K3),"",'Summary Sheet'!K3)</f>
        <v/>
      </c>
      <c r="K34" s="172" t="str">
        <f>IF(ISBLANK('Summary Sheet'!L3),"",'Summary Sheet'!L3)</f>
        <v/>
      </c>
    </row>
    <row r="35" spans="1:11" hidden="1" x14ac:dyDescent="0.25">
      <c r="A35" s="152" t="s">
        <v>89</v>
      </c>
      <c r="B35" s="173">
        <v>1</v>
      </c>
      <c r="C35" s="173">
        <v>2</v>
      </c>
      <c r="D35" s="173">
        <v>3</v>
      </c>
      <c r="E35" s="173">
        <v>4</v>
      </c>
      <c r="F35" s="173">
        <v>5</v>
      </c>
      <c r="G35" s="173">
        <v>6</v>
      </c>
      <c r="H35" s="173">
        <v>7</v>
      </c>
      <c r="I35" s="173">
        <v>8</v>
      </c>
      <c r="J35" s="173">
        <v>9</v>
      </c>
      <c r="K35" s="173">
        <v>10</v>
      </c>
    </row>
    <row r="36" spans="1:11" hidden="1" x14ac:dyDescent="0.25">
      <c r="A36" s="152" t="s">
        <v>14</v>
      </c>
      <c r="B36" s="176" t="e">
        <f>IF(ISBLANK(B17),'2010 Calculator'!B10,B17)</f>
        <v>#N/A</v>
      </c>
      <c r="C36" s="176" t="e">
        <f>IF(ISBLANK(C17),'2010 Calculator'!F10,C17)</f>
        <v>#N/A</v>
      </c>
      <c r="D36" s="176" t="e">
        <f>IF(ISBLANK(D17),'2010 Calculator'!J10,D17)</f>
        <v>#N/A</v>
      </c>
      <c r="E36" s="176" t="e">
        <f>IF(ISBLANK(E17),'2010 Calculator'!N10,E17)</f>
        <v>#N/A</v>
      </c>
      <c r="F36" s="176" t="e">
        <f>IF(ISBLANK(F17),'2010 Calculator'!R10,F17)</f>
        <v>#N/A</v>
      </c>
      <c r="G36" s="176" t="e">
        <f>IF(ISBLANK(G17),'2010 Calculator'!V10,G17)</f>
        <v>#N/A</v>
      </c>
      <c r="H36" s="176" t="e">
        <f>IF(ISBLANK(H17),'2010 Calculator'!Z10,H17)</f>
        <v>#N/A</v>
      </c>
      <c r="I36" s="176" t="e">
        <f>IF(ISBLANK(I17),'2010 Calculator'!AD10,I17)</f>
        <v>#N/A</v>
      </c>
      <c r="J36" s="176" t="e">
        <f>IF(ISBLANK(J17),'2010 Calculator'!AH10,J17)</f>
        <v>#N/A</v>
      </c>
      <c r="K36" s="176" t="e">
        <f>IF(ISBLANK(K17),'2010 Calculator'!AL10,K17)</f>
        <v>#N/A</v>
      </c>
    </row>
    <row r="37" spans="1:11" hidden="1" x14ac:dyDescent="0.25">
      <c r="A37" s="152" t="s">
        <v>15</v>
      </c>
      <c r="B37" s="176" t="e">
        <f>IF(ISBLANK(B18),'2010 Calculator'!C10,B18)</f>
        <v>#N/A</v>
      </c>
      <c r="C37" s="176" t="e">
        <f>IF(ISBLANK(C18),'2010 Calculator'!G10,C18)</f>
        <v>#N/A</v>
      </c>
      <c r="D37" s="176" t="e">
        <f>IF(ISBLANK(D18),'2010 Calculator'!K10,D18)</f>
        <v>#N/A</v>
      </c>
      <c r="E37" s="176" t="e">
        <f>IF(ISBLANK(E18),'2010 Calculator'!O10,E18)</f>
        <v>#N/A</v>
      </c>
      <c r="F37" s="176" t="e">
        <f>IF(ISBLANK(F18),'2010 Calculator'!S10,F18)</f>
        <v>#N/A</v>
      </c>
      <c r="G37" s="176" t="e">
        <f>IF(ISBLANK(G18),'2010 Calculator'!W10,G18)</f>
        <v>#N/A</v>
      </c>
      <c r="H37" s="176" t="e">
        <f>IF(ISBLANK(H18),'2010 Calculator'!AA10,H18)</f>
        <v>#N/A</v>
      </c>
      <c r="I37" s="176" t="e">
        <f>IF(ISBLANK(I18),'2010 Calculator'!AE10,I18)</f>
        <v>#N/A</v>
      </c>
      <c r="J37" s="176" t="e">
        <f>IF(ISBLANK(J18),'2010 Calculator'!AI10,J18)</f>
        <v>#N/A</v>
      </c>
      <c r="K37" s="176" t="e">
        <f>IF(ISBLANK(K18),'2010 Calculator'!AM10,K18)</f>
        <v>#N/A</v>
      </c>
    </row>
    <row r="38" spans="1:11" hidden="1" x14ac:dyDescent="0.25">
      <c r="A38" s="152" t="s">
        <v>4</v>
      </c>
      <c r="B38" s="176" t="e">
        <f>IF(ISBLANK(B19),'2010 Calculator'!D10,B19)</f>
        <v>#N/A</v>
      </c>
      <c r="C38" s="176" t="e">
        <f>IF(ISBLANK(C19),'2010 Calculator'!H10,C19)</f>
        <v>#N/A</v>
      </c>
      <c r="D38" s="176" t="e">
        <f>IF(ISBLANK(D19),'2010 Calculator'!L10,D19)</f>
        <v>#N/A</v>
      </c>
      <c r="E38" s="176" t="e">
        <f>IF(ISBLANK(E19),'2010 Calculator'!P10,E19)</f>
        <v>#N/A</v>
      </c>
      <c r="F38" s="176" t="e">
        <f>IF(ISBLANK(F19),'2010 Calculator'!T10,F19)</f>
        <v>#N/A</v>
      </c>
      <c r="G38" s="176" t="e">
        <f>IF(ISBLANK(G19),'2010 Calculator'!X10,G19)</f>
        <v>#N/A</v>
      </c>
      <c r="H38" s="176" t="e">
        <f>IF(ISBLANK(H19),'2010 Calculator'!AB10,H19)</f>
        <v>#N/A</v>
      </c>
      <c r="I38" s="176" t="e">
        <f>IF(ISBLANK(I19),'2010 Calculator'!AF10,I19)</f>
        <v>#N/A</v>
      </c>
      <c r="J38" s="176" t="e">
        <f>IF(ISBLANK(J19),'2010 Calculator'!AJ10,J19)</f>
        <v>#N/A</v>
      </c>
      <c r="K38" s="176" t="e">
        <f>IF(ISBLANK(K19),'2010 Calculator'!AN10,K19)</f>
        <v>#N/A</v>
      </c>
    </row>
    <row r="39" spans="1:11" hidden="1" x14ac:dyDescent="0.25">
      <c r="B39" s="173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1" hidden="1" x14ac:dyDescent="0.25">
      <c r="B40" s="173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1" hidden="1" x14ac:dyDescent="0.25">
      <c r="A41" s="153" t="s">
        <v>112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1" hidden="1" x14ac:dyDescent="0.25"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1" hidden="1" x14ac:dyDescent="0.25">
      <c r="A43" s="152" t="s">
        <v>91</v>
      </c>
      <c r="B43" s="172" t="str">
        <f>IF(ISBLANK('Summary Sheet'!C3),"",'Summary Sheet'!C3)</f>
        <v/>
      </c>
      <c r="C43" s="172" t="str">
        <f>IF(ISBLANK('Summary Sheet'!D3),"",'Summary Sheet'!D3)</f>
        <v/>
      </c>
      <c r="D43" s="172" t="str">
        <f>IF(ISBLANK('Summary Sheet'!E3),"",'Summary Sheet'!E3)</f>
        <v/>
      </c>
      <c r="E43" s="172" t="str">
        <f>IF(ISBLANK('Summary Sheet'!F3),"",'Summary Sheet'!F3)</f>
        <v/>
      </c>
      <c r="F43" s="172" t="str">
        <f>IF(ISBLANK('Summary Sheet'!G3),"",'Summary Sheet'!G3)</f>
        <v/>
      </c>
      <c r="G43" s="172" t="str">
        <f>IF(ISBLANK('Summary Sheet'!H3),"",'Summary Sheet'!H3)</f>
        <v/>
      </c>
      <c r="H43" s="172" t="str">
        <f>IF(ISBLANK('Summary Sheet'!I3),"",'Summary Sheet'!I3)</f>
        <v/>
      </c>
      <c r="I43" s="172" t="str">
        <f>IF(ISBLANK('Summary Sheet'!J3),"",'Summary Sheet'!J3)</f>
        <v/>
      </c>
      <c r="J43" s="172" t="str">
        <f>IF(ISBLANK('Summary Sheet'!K3),"",'Summary Sheet'!K3)</f>
        <v/>
      </c>
      <c r="K43" s="172" t="str">
        <f>IF(ISBLANK('Summary Sheet'!L3),"",'Summary Sheet'!L3)</f>
        <v/>
      </c>
    </row>
    <row r="44" spans="1:11" hidden="1" x14ac:dyDescent="0.25">
      <c r="A44" s="152" t="s">
        <v>89</v>
      </c>
      <c r="B44" s="173">
        <v>1</v>
      </c>
      <c r="C44" s="173">
        <v>2</v>
      </c>
      <c r="D44" s="173">
        <v>3</v>
      </c>
      <c r="E44" s="173">
        <v>4</v>
      </c>
      <c r="F44" s="173">
        <v>5</v>
      </c>
      <c r="G44" s="173">
        <v>6</v>
      </c>
      <c r="H44" s="173">
        <v>7</v>
      </c>
      <c r="I44" s="173">
        <v>8</v>
      </c>
      <c r="J44" s="173">
        <v>9</v>
      </c>
      <c r="K44" s="173">
        <v>10</v>
      </c>
    </row>
    <row r="45" spans="1:11" hidden="1" x14ac:dyDescent="0.25">
      <c r="A45" s="152" t="s">
        <v>13</v>
      </c>
      <c r="B45" s="176" t="e">
        <f>IF(ISBLANK(B26),'2014 Calculator'!B12,B26)</f>
        <v>#N/A</v>
      </c>
      <c r="C45" s="176" t="e">
        <f>IF(ISBLANK(C26),'2014 Calculator'!F12,C26)</f>
        <v>#N/A</v>
      </c>
      <c r="D45" s="176" t="e">
        <f>IF(ISBLANK(D26),'2014 Calculator'!J12,D26)</f>
        <v>#N/A</v>
      </c>
      <c r="E45" s="176" t="e">
        <f>IF(ISBLANK(E26),'2014 Calculator'!N12,E26)</f>
        <v>#N/A</v>
      </c>
      <c r="F45" s="176" t="e">
        <f>IF(ISBLANK(F26),'2014 Calculator'!R12,F26)</f>
        <v>#N/A</v>
      </c>
      <c r="G45" s="176" t="e">
        <f>IF(ISBLANK(G26),'2014 Calculator'!V12,G26)</f>
        <v>#N/A</v>
      </c>
      <c r="H45" s="176" t="e">
        <f>IF(ISBLANK(H26),'2014 Calculator'!Z12,H26)</f>
        <v>#N/A</v>
      </c>
      <c r="I45" s="176" t="e">
        <f>IF(ISBLANK(I26),'2014 Calculator'!AD12,I26)</f>
        <v>#N/A</v>
      </c>
      <c r="J45" s="176" t="e">
        <f>IF(ISBLANK(J26),'2014 Calculator'!AH12,J26)</f>
        <v>#N/A</v>
      </c>
      <c r="K45" s="176" t="e">
        <f>IF(ISBLANK(K26),'2014 Calculator'!AL12,K26)</f>
        <v>#N/A</v>
      </c>
    </row>
    <row r="46" spans="1:11" hidden="1" x14ac:dyDescent="0.25">
      <c r="A46" s="152" t="s">
        <v>1</v>
      </c>
      <c r="B46" s="176" t="e">
        <f>IF(ISBLANK(B27),'2014 Calculator'!C12,B27)</f>
        <v>#N/A</v>
      </c>
      <c r="C46" s="176" t="e">
        <f>IF(ISBLANK(C27),'2014 Calculator'!G12,C27)</f>
        <v>#N/A</v>
      </c>
      <c r="D46" s="176" t="e">
        <f>IF(ISBLANK(D27),'2014 Calculator'!K12,D27)</f>
        <v>#N/A</v>
      </c>
      <c r="E46" s="176" t="e">
        <f>IF(ISBLANK(E27),'2014 Calculator'!O12,E27)</f>
        <v>#N/A</v>
      </c>
      <c r="F46" s="176" t="e">
        <f>IF(ISBLANK(F27),'2014 Calculator'!S12,F27)</f>
        <v>#N/A</v>
      </c>
      <c r="G46" s="176" t="e">
        <f>IF(ISBLANK(G27),'2014 Calculator'!W12,G27)</f>
        <v>#N/A</v>
      </c>
      <c r="H46" s="176" t="e">
        <f>IF(ISBLANK(H27),'2014 Calculator'!AA12,H27)</f>
        <v>#N/A</v>
      </c>
      <c r="I46" s="176" t="e">
        <f>IF(ISBLANK(I27),'2014 Calculator'!AE12,I27)</f>
        <v>#N/A</v>
      </c>
      <c r="J46" s="176" t="e">
        <f>IF(ISBLANK(J27),'2014 Calculator'!AI12,J27)</f>
        <v>#N/A</v>
      </c>
      <c r="K46" s="176" t="e">
        <f>IF(ISBLANK(K27),'2014 Calculator'!AM12,K27)</f>
        <v>#N/A</v>
      </c>
    </row>
    <row r="47" spans="1:11" hidden="1" x14ac:dyDescent="0.25">
      <c r="A47" s="152" t="s">
        <v>4</v>
      </c>
      <c r="B47" s="176" t="e">
        <f>IF(ISBLANK(B28),'2014 Calculator'!D12,B28)</f>
        <v>#N/A</v>
      </c>
      <c r="C47" s="176" t="e">
        <f>IF(ISBLANK(C28),'2014 Calculator'!H12,C28)</f>
        <v>#N/A</v>
      </c>
      <c r="D47" s="176" t="e">
        <f>IF(ISBLANK(D28),'2014 Calculator'!L12,D28)</f>
        <v>#N/A</v>
      </c>
      <c r="E47" s="176" t="e">
        <f>IF(ISBLANK(E28),'2014 Calculator'!P12,E28)</f>
        <v>#N/A</v>
      </c>
      <c r="F47" s="176" t="e">
        <f>IF(ISBLANK(F28),'2014 Calculator'!T12,F28)</f>
        <v>#N/A</v>
      </c>
      <c r="G47" s="176" t="e">
        <f>IF(ISBLANK(G28),'2014 Calculator'!X12,G28)</f>
        <v>#N/A</v>
      </c>
      <c r="H47" s="176" t="e">
        <f>IF(ISBLANK(H28),'2014 Calculator'!AB12,H28)</f>
        <v>#N/A</v>
      </c>
      <c r="I47" s="176" t="e">
        <f>IF(ISBLANK(I28),'2014 Calculator'!AF12,I28)</f>
        <v>#N/A</v>
      </c>
      <c r="J47" s="176" t="e">
        <f>IF(ISBLANK(J28),'2014 Calculator'!AJ12,J28)</f>
        <v>#N/A</v>
      </c>
      <c r="K47" s="176" t="e">
        <f>IF(ISBLANK(K28),'2014 Calculator'!AN12,K28)</f>
        <v>#N/A</v>
      </c>
    </row>
  </sheetData>
  <sheetProtection password="B45D" sheet="1" objects="1" scenarios="1" selectLockedCell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6"/>
  <sheetViews>
    <sheetView workbookViewId="0"/>
  </sheetViews>
  <sheetFormatPr defaultColWidth="0" defaultRowHeight="15" zeroHeight="1" x14ac:dyDescent="0.25"/>
  <cols>
    <col min="1" max="1" width="22.140625" bestFit="1" customWidth="1"/>
    <col min="2" max="12" width="9.140625" customWidth="1"/>
    <col min="13" max="16384" width="9.140625" hidden="1"/>
  </cols>
  <sheetData>
    <row r="1" spans="1:12" x14ac:dyDescent="0.25">
      <c r="A1" s="88" t="s">
        <v>89</v>
      </c>
      <c r="B1" s="182">
        <v>1</v>
      </c>
      <c r="C1" s="182">
        <v>2</v>
      </c>
      <c r="D1" s="182">
        <v>3</v>
      </c>
      <c r="E1" s="182">
        <v>4</v>
      </c>
      <c r="F1" s="182">
        <v>5</v>
      </c>
      <c r="G1" s="182">
        <v>6</v>
      </c>
      <c r="H1" s="182">
        <v>7</v>
      </c>
      <c r="I1" s="182">
        <v>8</v>
      </c>
      <c r="J1" s="182">
        <v>9</v>
      </c>
      <c r="K1" s="182">
        <v>10</v>
      </c>
      <c r="L1" t="s">
        <v>128</v>
      </c>
    </row>
    <row r="2" spans="1:12" s="22" customFormat="1" hidden="1" x14ac:dyDescent="0.25">
      <c r="A2" s="88" t="s">
        <v>118</v>
      </c>
      <c r="B2" s="182">
        <f>IF(ISBLANK('Summary Sheet'!C3),1,0)</f>
        <v>1</v>
      </c>
      <c r="C2" s="182">
        <f>IF(ISBLANK('Summary Sheet'!D3),1,0)</f>
        <v>1</v>
      </c>
      <c r="D2" s="182">
        <f>IF(ISBLANK('Summary Sheet'!E3),1,0)</f>
        <v>1</v>
      </c>
      <c r="E2" s="182">
        <f>IF(ISBLANK('Summary Sheet'!F3),1,0)</f>
        <v>1</v>
      </c>
      <c r="F2" s="182">
        <f>IF(ISBLANK('Summary Sheet'!G3),1,0)</f>
        <v>1</v>
      </c>
      <c r="G2" s="182">
        <f>IF(ISBLANK('Summary Sheet'!H3),1,0)</f>
        <v>1</v>
      </c>
      <c r="H2" s="182">
        <f>IF(ISBLANK('Summary Sheet'!I3),1,0)</f>
        <v>1</v>
      </c>
      <c r="I2" s="182">
        <f>IF(ISBLANK('Summary Sheet'!J3),1,0)</f>
        <v>1</v>
      </c>
      <c r="J2" s="182">
        <f>IF(ISBLANK('Summary Sheet'!K3),1,0)</f>
        <v>1</v>
      </c>
      <c r="K2" s="182">
        <f>IF(ISBLANK('Summary Sheet'!L3),1,0)</f>
        <v>1</v>
      </c>
    </row>
    <row r="3" spans="1:12" hidden="1" x14ac:dyDescent="0.25">
      <c r="A3" s="88" t="s">
        <v>116</v>
      </c>
      <c r="B3" s="177">
        <f>IF('Summary Sheet'!C3&lt;'Defined Values'!$I$18,1,0)</f>
        <v>1</v>
      </c>
      <c r="C3" s="177">
        <f>IF('Summary Sheet'!D3&lt;'Defined Values'!$I$18,1,0)</f>
        <v>1</v>
      </c>
      <c r="D3" s="177">
        <f>IF('Summary Sheet'!E3&lt;'Defined Values'!$I$18,1,0)</f>
        <v>1</v>
      </c>
      <c r="E3" s="177">
        <f>IF('Summary Sheet'!F3&lt;'Defined Values'!$I$18,1,0)</f>
        <v>1</v>
      </c>
      <c r="F3" s="177">
        <f>IF('Summary Sheet'!G3&lt;'Defined Values'!$I$18,1,0)</f>
        <v>1</v>
      </c>
      <c r="G3" s="177">
        <f>IF('Summary Sheet'!H3&lt;'Defined Values'!$I$18,1,0)</f>
        <v>1</v>
      </c>
      <c r="H3" s="177">
        <f>IF('Summary Sheet'!I3&lt;'Defined Values'!$I$18,1,0)</f>
        <v>1</v>
      </c>
      <c r="I3" s="177">
        <f>IF('Summary Sheet'!J3&lt;'Defined Values'!$I$18,1,0)</f>
        <v>1</v>
      </c>
      <c r="J3" s="177">
        <f>IF('Summary Sheet'!K3&lt;'Defined Values'!$I$18,1,0)</f>
        <v>1</v>
      </c>
      <c r="K3" s="177">
        <f>IF('Summary Sheet'!L3&lt;'Defined Values'!$I$18,1,0)</f>
        <v>1</v>
      </c>
    </row>
    <row r="4" spans="1:12" s="22" customFormat="1" hidden="1" x14ac:dyDescent="0.25">
      <c r="A4" s="88" t="s">
        <v>126</v>
      </c>
      <c r="B4" s="177">
        <f>IF(AND(B3=1,B2=0),1,0)</f>
        <v>0</v>
      </c>
      <c r="C4" s="177">
        <f t="shared" ref="C4:J4" si="0">IF(AND(C3=1,C2=0),1,0)</f>
        <v>0</v>
      </c>
      <c r="D4" s="177">
        <f t="shared" si="0"/>
        <v>0</v>
      </c>
      <c r="E4" s="177">
        <f t="shared" si="0"/>
        <v>0</v>
      </c>
      <c r="F4" s="177">
        <f t="shared" si="0"/>
        <v>0</v>
      </c>
      <c r="G4" s="177">
        <f t="shared" si="0"/>
        <v>0</v>
      </c>
      <c r="H4" s="177">
        <f t="shared" si="0"/>
        <v>0</v>
      </c>
      <c r="I4" s="177">
        <f t="shared" si="0"/>
        <v>0</v>
      </c>
      <c r="J4" s="177">
        <f t="shared" si="0"/>
        <v>0</v>
      </c>
      <c r="K4" s="177">
        <f>IF(AND(K3=1,K2=0),1,0)</f>
        <v>0</v>
      </c>
      <c r="L4" s="177">
        <f>SUM(B4:K4)</f>
        <v>0</v>
      </c>
    </row>
    <row r="5" spans="1:12" hidden="1" x14ac:dyDescent="0.25">
      <c r="A5" s="88" t="s">
        <v>127</v>
      </c>
      <c r="B5" s="177">
        <f>IF('Summary Sheet'!C3&gt;'Defined Values'!$I$19,1,0)</f>
        <v>0</v>
      </c>
      <c r="C5" s="177">
        <f>IF('Summary Sheet'!D3&gt;'Defined Values'!$I$19,1,0)</f>
        <v>0</v>
      </c>
      <c r="D5" s="177">
        <f>IF('Summary Sheet'!E3&gt;'Defined Values'!$I$19,1,0)</f>
        <v>0</v>
      </c>
      <c r="E5" s="177">
        <f>IF('Summary Sheet'!F3&gt;'Defined Values'!$I$19,1,0)</f>
        <v>0</v>
      </c>
      <c r="F5" s="177">
        <f>IF('Summary Sheet'!G3&gt;'Defined Values'!$I$19,1,0)</f>
        <v>0</v>
      </c>
      <c r="G5" s="177">
        <f>IF('Summary Sheet'!H3&gt;'Defined Values'!$I$19,1,0)</f>
        <v>0</v>
      </c>
      <c r="H5" s="177">
        <f>IF('Summary Sheet'!I3&gt;'Defined Values'!$I$19,1,0)</f>
        <v>0</v>
      </c>
      <c r="I5" s="177">
        <f>IF('Summary Sheet'!J3&gt;'Defined Values'!$I$19,1,0)</f>
        <v>0</v>
      </c>
      <c r="J5" s="177">
        <f>IF('Summary Sheet'!K3&gt;'Defined Values'!$I$19,1,0)</f>
        <v>0</v>
      </c>
      <c r="K5" s="177">
        <f>IF('Summary Sheet'!L3&gt;'Defined Values'!$I$19,1,0)</f>
        <v>0</v>
      </c>
      <c r="L5" s="177">
        <f t="shared" ref="L5" si="1">SUM(B5:K5)</f>
        <v>0</v>
      </c>
    </row>
    <row r="6" spans="1:12" hidden="1" x14ac:dyDescent="0.25">
      <c r="A6" s="88" t="s">
        <v>117</v>
      </c>
      <c r="B6" s="177">
        <f>IF(MOD('Summary Sheet'!C3,1)&gt;0,1,0)</f>
        <v>0</v>
      </c>
      <c r="C6" s="177">
        <f>IF(MOD('Summary Sheet'!D3,1)&gt;0,1,0)</f>
        <v>0</v>
      </c>
      <c r="D6" s="177">
        <f>IF(MOD('Summary Sheet'!E3,1)&gt;0,1,0)</f>
        <v>0</v>
      </c>
      <c r="E6" s="177">
        <f>IF(MOD('Summary Sheet'!F3,1)&gt;0,1,0)</f>
        <v>0</v>
      </c>
      <c r="F6" s="177">
        <f>IF(MOD('Summary Sheet'!G3,1)&gt;0,1,0)</f>
        <v>0</v>
      </c>
      <c r="G6" s="177">
        <f>IF(MOD('Summary Sheet'!H3,1)&gt;0,1,0)</f>
        <v>0</v>
      </c>
      <c r="H6" s="177">
        <f>IF(MOD('Summary Sheet'!I3,1)&gt;0,1,0)</f>
        <v>0</v>
      </c>
      <c r="I6" s="177">
        <f>IF(MOD('Summary Sheet'!J3,1)&gt;0,1,0)</f>
        <v>0</v>
      </c>
      <c r="J6" s="177">
        <f>IF(MOD('Summary Sheet'!K3,1)&gt;0,1,0)</f>
        <v>0</v>
      </c>
      <c r="K6" s="177">
        <f>IF(MOD('Summary Sheet'!L3,1)&gt;0,1,0)</f>
        <v>0</v>
      </c>
      <c r="L6" s="177">
        <f>SUM(B6:K6)</f>
        <v>0</v>
      </c>
    </row>
    <row r="7" spans="1:12" hidden="1" x14ac:dyDescent="0.25">
      <c r="A7" s="88" t="s">
        <v>119</v>
      </c>
      <c r="B7" s="88" t="str">
        <f>IF(OR(L4&gt;0,L5&gt;0),"Check your dates fall between 16/7/2004 and 7/6/2018. ",IF(L6&gt;0,"Check your date data is dd/mm/yyyy. ",""))</f>
        <v/>
      </c>
      <c r="C7" s="88"/>
      <c r="D7" s="88"/>
      <c r="E7" s="88"/>
      <c r="F7" s="88"/>
      <c r="G7" s="88"/>
      <c r="H7" s="88"/>
      <c r="I7" s="88"/>
      <c r="J7" s="88"/>
      <c r="K7" s="88"/>
    </row>
    <row r="8" spans="1:12" hidden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2" hidden="1" x14ac:dyDescent="0.25">
      <c r="A9" s="88" t="s">
        <v>120</v>
      </c>
      <c r="B9" s="177">
        <f>IF('Summary Sheet'!C4&lt;0,1,0)</f>
        <v>0</v>
      </c>
      <c r="C9" s="177">
        <f>IF('Summary Sheet'!D4&lt;0,1,0)</f>
        <v>0</v>
      </c>
      <c r="D9" s="177">
        <f>IF('Summary Sheet'!E4&lt;0,1,0)</f>
        <v>0</v>
      </c>
      <c r="E9" s="177">
        <f>IF('Summary Sheet'!F4&lt;0,1,0)</f>
        <v>0</v>
      </c>
      <c r="F9" s="177">
        <f>IF('Summary Sheet'!G4&lt;0,1,0)</f>
        <v>0</v>
      </c>
      <c r="G9" s="177">
        <f>IF('Summary Sheet'!H4&lt;0,1,0)</f>
        <v>0</v>
      </c>
      <c r="H9" s="177">
        <f>IF('Summary Sheet'!I4&lt;0,1,0)</f>
        <v>0</v>
      </c>
      <c r="I9" s="177">
        <f>IF('Summary Sheet'!J4&lt;0,1,0)</f>
        <v>0</v>
      </c>
      <c r="J9" s="177">
        <f>IF('Summary Sheet'!K4&lt;0,1,0)</f>
        <v>0</v>
      </c>
      <c r="K9" s="177">
        <f>IF('Summary Sheet'!L4&lt;0,1,0)</f>
        <v>0</v>
      </c>
      <c r="L9" s="177">
        <f>SUM(B9:K9)</f>
        <v>0</v>
      </c>
    </row>
    <row r="10" spans="1:12" hidden="1" x14ac:dyDescent="0.25">
      <c r="A10" s="88" t="s">
        <v>121</v>
      </c>
      <c r="B10" s="182">
        <f>IF(MOD('Summary Sheet'!C4,1)&gt;0,1,0)</f>
        <v>0</v>
      </c>
      <c r="C10" s="182">
        <f>IF(MOD('Summary Sheet'!D4,1)&gt;0,1,0)</f>
        <v>0</v>
      </c>
      <c r="D10" s="182">
        <f>IF(MOD('Summary Sheet'!E4,1)&gt;0,1,0)</f>
        <v>0</v>
      </c>
      <c r="E10" s="182">
        <f>IF(MOD('Summary Sheet'!F4,1)&gt;0,1,0)</f>
        <v>0</v>
      </c>
      <c r="F10" s="182">
        <f>IF(MOD('Summary Sheet'!G4,1)&gt;0,1,0)</f>
        <v>0</v>
      </c>
      <c r="G10" s="182">
        <f>IF(MOD('Summary Sheet'!H4,1)&gt;0,1,0)</f>
        <v>0</v>
      </c>
      <c r="H10" s="182">
        <f>IF(MOD('Summary Sheet'!I4,1)&gt;0,1,0)</f>
        <v>0</v>
      </c>
      <c r="I10" s="182">
        <f>IF(MOD('Summary Sheet'!J4,1)&gt;0,1,0)</f>
        <v>0</v>
      </c>
      <c r="J10" s="182">
        <f>IF(MOD('Summary Sheet'!K4,1)&gt;0,1,0)</f>
        <v>0</v>
      </c>
      <c r="K10" s="182">
        <f>IF(MOD('Summary Sheet'!L4,1)&gt;0,1,0)</f>
        <v>0</v>
      </c>
      <c r="L10" s="177">
        <f t="shared" ref="L10" si="2">SUM(B10:K10)</f>
        <v>0</v>
      </c>
    </row>
    <row r="11" spans="1:12" hidden="1" x14ac:dyDescent="0.25">
      <c r="A11" s="88" t="s">
        <v>122</v>
      </c>
      <c r="B11" s="88" t="str">
        <f>IF(L9&gt;0,"You have entered a negative number of stapled securities. ", IF(L10&gt;0,"You have entered a fractional number of stapled securities. ",""))</f>
        <v/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1:12" hidden="1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2" hidden="1" x14ac:dyDescent="0.25">
      <c r="A13" s="88" t="s">
        <v>123</v>
      </c>
      <c r="B13" s="177">
        <f>IF('Summary Sheet'!C5&lt;0,1,0)</f>
        <v>0</v>
      </c>
      <c r="C13" s="177">
        <f>IF('Summary Sheet'!D5&lt;0,1,0)</f>
        <v>0</v>
      </c>
      <c r="D13" s="177">
        <f>IF('Summary Sheet'!E5&lt;0,1,0)</f>
        <v>0</v>
      </c>
      <c r="E13" s="177">
        <f>IF('Summary Sheet'!F5&lt;0,1,0)</f>
        <v>0</v>
      </c>
      <c r="F13" s="177">
        <f>IF('Summary Sheet'!G5&lt;0,1,0)</f>
        <v>0</v>
      </c>
      <c r="G13" s="177">
        <f>IF('Summary Sheet'!H5&lt;0,1,0)</f>
        <v>0</v>
      </c>
      <c r="H13" s="177">
        <f>IF('Summary Sheet'!I5&lt;0,1,0)</f>
        <v>0</v>
      </c>
      <c r="I13" s="177">
        <f>IF('Summary Sheet'!J5&lt;0,1,0)</f>
        <v>0</v>
      </c>
      <c r="J13" s="177">
        <f>IF('Summary Sheet'!K5&lt;0,1,0)</f>
        <v>0</v>
      </c>
      <c r="K13" s="177">
        <f>IF('Summary Sheet'!L5&lt;0,1,0)</f>
        <v>0</v>
      </c>
      <c r="L13" s="177">
        <f t="shared" ref="L13" si="3">SUM(B13:K13)</f>
        <v>0</v>
      </c>
    </row>
    <row r="14" spans="1:12" hidden="1" x14ac:dyDescent="0.25">
      <c r="A14" s="88" t="s">
        <v>124</v>
      </c>
      <c r="B14" s="88" t="str">
        <f>IF(L13&gt;0,"You have entered a negative purchase price. ","")</f>
        <v/>
      </c>
      <c r="C14" s="88"/>
      <c r="D14" s="88"/>
      <c r="E14" s="88"/>
      <c r="F14" s="88"/>
      <c r="G14" s="88"/>
      <c r="H14" s="88"/>
      <c r="I14" s="88"/>
      <c r="J14" s="88"/>
      <c r="K14" s="88"/>
    </row>
    <row r="15" spans="1:12" hidden="1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1:12" hidden="1" x14ac:dyDescent="0.25">
      <c r="A16" s="88" t="s">
        <v>125</v>
      </c>
      <c r="B16" s="177">
        <f>IF(OR('Manual Input'!B8&lt;0,'Manual Input'!B9&lt;0,'Manual Input'!B10&lt;0,'Manual Input'!B17&lt;0,'Manual Input'!B18&lt;0,'Manual Input'!B19&lt;0,'Manual Input'!B26&lt;0,'Manual Input'!B27&lt;0,'Manual Input'!B28&lt;0),1, 0)</f>
        <v>0</v>
      </c>
      <c r="C16" s="177">
        <f>IF(OR('Manual Input'!C8&lt;0,'Manual Input'!C9&lt;0,'Manual Input'!C10&lt;0,'Manual Input'!C17&lt;0,'Manual Input'!C18&lt;0,'Manual Input'!C19&lt;0,'Manual Input'!C26&lt;0,'Manual Input'!C27&lt;0,'Manual Input'!C28&lt;0),1, 0)</f>
        <v>0</v>
      </c>
      <c r="D16" s="177">
        <f>IF(OR('Manual Input'!D8&lt;0,'Manual Input'!D9&lt;0,'Manual Input'!D10&lt;0,'Manual Input'!D17&lt;0,'Manual Input'!D18&lt;0,'Manual Input'!D19&lt;0,'Manual Input'!D26&lt;0,'Manual Input'!D27&lt;0,'Manual Input'!D28&lt;0),1, 0)</f>
        <v>0</v>
      </c>
      <c r="E16" s="177">
        <f>IF(OR('Manual Input'!E8&lt;0,'Manual Input'!E9&lt;0,'Manual Input'!E10&lt;0,'Manual Input'!E17&lt;0,'Manual Input'!E18&lt;0,'Manual Input'!E19&lt;0,'Manual Input'!E26&lt;0,'Manual Input'!E27&lt;0,'Manual Input'!E28&lt;0),1, 0)</f>
        <v>0</v>
      </c>
      <c r="F16" s="177">
        <f>IF(OR('Manual Input'!F8&lt;0,'Manual Input'!F9&lt;0,'Manual Input'!F10&lt;0,'Manual Input'!F17&lt;0,'Manual Input'!F18&lt;0,'Manual Input'!F19&lt;0,'Manual Input'!F26&lt;0,'Manual Input'!F27&lt;0,'Manual Input'!F28&lt;0),1, 0)</f>
        <v>0</v>
      </c>
      <c r="G16" s="177">
        <f>IF(OR('Manual Input'!G8&lt;0,'Manual Input'!G9&lt;0,'Manual Input'!G10&lt;0,'Manual Input'!G17&lt;0,'Manual Input'!G18&lt;0,'Manual Input'!G19&lt;0,'Manual Input'!G26&lt;0,'Manual Input'!G27&lt;0,'Manual Input'!G28&lt;0),1, 0)</f>
        <v>0</v>
      </c>
      <c r="H16" s="177">
        <f>IF(OR('Manual Input'!H8&lt;0,'Manual Input'!H9&lt;0,'Manual Input'!H10&lt;0,'Manual Input'!H17&lt;0,'Manual Input'!H18&lt;0,'Manual Input'!H19&lt;0,'Manual Input'!H26&lt;0,'Manual Input'!H27&lt;0,'Manual Input'!H28&lt;0),1, 0)</f>
        <v>0</v>
      </c>
      <c r="I16" s="177">
        <f>IF(OR('Manual Input'!I8&lt;0,'Manual Input'!I9&lt;0,'Manual Input'!I10&lt;0,'Manual Input'!I17&lt;0,'Manual Input'!I18&lt;0,'Manual Input'!I19&lt;0,'Manual Input'!I26&lt;0,'Manual Input'!I27&lt;0,'Manual Input'!I28&lt;0),1, 0)</f>
        <v>0</v>
      </c>
      <c r="J16" s="177">
        <f>IF(OR('Manual Input'!J8&lt;0,'Manual Input'!J9&lt;0,'Manual Input'!J10&lt;0,'Manual Input'!J17&lt;0,'Manual Input'!J18&lt;0,'Manual Input'!J19&lt;0,'Manual Input'!J26&lt;0,'Manual Input'!J27&lt;0,'Manual Input'!J28&lt;0),1, 0)</f>
        <v>0</v>
      </c>
      <c r="K16" s="177">
        <f>IF(OR('Manual Input'!K8&lt;0,'Manual Input'!K9&lt;0,'Manual Input'!K10&lt;0,'Manual Input'!K17&lt;0,'Manual Input'!K18&lt;0,'Manual Input'!K19&lt;0,'Manual Input'!K26&lt;0,'Manual Input'!K27&lt;0,'Manual Input'!K28&lt;0),1, 0)</f>
        <v>0</v>
      </c>
      <c r="L16" s="177">
        <f>SUM(B16:K16)</f>
        <v>0</v>
      </c>
    </row>
    <row r="17" spans="1:12" hidden="1" x14ac:dyDescent="0.25">
      <c r="A17" s="88" t="s">
        <v>130</v>
      </c>
      <c r="B17" s="88" t="str">
        <f>IF(L16&gt;0,"You have entered a negative unit price on the Manual Input tab. ","")</f>
        <v/>
      </c>
      <c r="C17" s="88"/>
      <c r="D17" s="88"/>
      <c r="E17" s="88"/>
      <c r="F17" s="88"/>
      <c r="G17" s="88"/>
      <c r="H17" s="88"/>
      <c r="I17" s="88"/>
      <c r="J17" s="88"/>
      <c r="K17" s="88"/>
    </row>
    <row r="18" spans="1:12" hidden="1" x14ac:dyDescent="0.25">
      <c r="A18" s="88" t="s">
        <v>129</v>
      </c>
      <c r="B18" s="88" t="str">
        <f>B7&amp;B11&amp;B14&amp;B17</f>
        <v/>
      </c>
      <c r="C18" s="88"/>
      <c r="D18" s="88"/>
      <c r="E18" s="88"/>
      <c r="F18" s="88"/>
      <c r="G18" s="88"/>
      <c r="H18" s="88"/>
      <c r="I18" s="88"/>
      <c r="J18" s="88"/>
      <c r="K18" s="88"/>
    </row>
    <row r="19" spans="1:12" s="22" customFormat="1" hidden="1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2" s="22" customFormat="1" hidden="1" x14ac:dyDescent="0.25">
      <c r="A20" s="88" t="s">
        <v>164</v>
      </c>
      <c r="B20" s="88" t="e">
        <f>IF('2018 Calculator'!C9&lt;0,1,0)</f>
        <v>#N/A</v>
      </c>
      <c r="C20" s="88" t="e">
        <f>IF('2018 Calculator'!G9&lt;0,1,0)</f>
        <v>#N/A</v>
      </c>
      <c r="D20" s="88" t="e">
        <f>IF('2018 Calculator'!K9&lt;0,1,0)</f>
        <v>#N/A</v>
      </c>
      <c r="E20" s="88" t="e">
        <f>IF('2018 Calculator'!O9&lt;0,1,0)</f>
        <v>#N/A</v>
      </c>
      <c r="F20" s="88" t="e">
        <f>IF('2018 Calculator'!S9&lt;0,1,0)</f>
        <v>#N/A</v>
      </c>
      <c r="G20" s="88" t="e">
        <f>IF('2018 Calculator'!W9&lt;0,1,0)</f>
        <v>#N/A</v>
      </c>
      <c r="H20" s="88" t="e">
        <f>IF('2018 Calculator'!AA9&lt;0,1,0)</f>
        <v>#N/A</v>
      </c>
      <c r="I20" s="88" t="e">
        <f>IF('2018 Calculator'!AE9&lt;0,1,0)</f>
        <v>#N/A</v>
      </c>
      <c r="J20" s="88" t="e">
        <f>IF('2018 Calculator'!AI9&lt;0,1,0)</f>
        <v>#N/A</v>
      </c>
      <c r="K20" s="88" t="e">
        <f>IF('2018 Calculator'!AM9&lt;0,1,0)</f>
        <v>#N/A</v>
      </c>
    </row>
    <row r="21" spans="1:12" s="22" customFormat="1" hidden="1" x14ac:dyDescent="0.25">
      <c r="A21" s="88" t="s">
        <v>165</v>
      </c>
      <c r="B21" s="88" t="e">
        <f>IF('2018 Calculator'!D9&lt;0,1,0)</f>
        <v>#N/A</v>
      </c>
      <c r="C21" s="88" t="e">
        <f>IF('2018 Calculator'!H9&lt;0,1,0)</f>
        <v>#N/A</v>
      </c>
      <c r="D21" s="88" t="e">
        <f>IF('2018 Calculator'!L9&lt;0,1,0)</f>
        <v>#N/A</v>
      </c>
      <c r="E21" s="88" t="e">
        <f>IF('2018 Calculator'!P9&lt;0,1,0)</f>
        <v>#N/A</v>
      </c>
      <c r="F21" s="88" t="e">
        <f>IF('2018 Calculator'!T9&lt;0,1,0)</f>
        <v>#N/A</v>
      </c>
      <c r="G21" s="88" t="e">
        <f>IF('2018 Calculator'!X9&lt;0,1,0)</f>
        <v>#N/A</v>
      </c>
      <c r="H21" s="88" t="e">
        <f>IF('2018 Calculator'!AB9&lt;0,1,0)</f>
        <v>#N/A</v>
      </c>
      <c r="I21" s="88" t="e">
        <f>IF('2018 Calculator'!AF9&lt;0,1,0)</f>
        <v>#N/A</v>
      </c>
      <c r="J21" s="88" t="e">
        <f>IF('2018 Calculator'!AJ9&lt;0,1,0)</f>
        <v>#N/A</v>
      </c>
      <c r="K21" s="88" t="e">
        <f>IF('2018 Calculator'!AN9&lt;0,1,0)</f>
        <v>#N/A</v>
      </c>
      <c r="L21" s="22">
        <f>SUMIF(B20:K21,"&gt;0")</f>
        <v>0</v>
      </c>
    </row>
    <row r="22" spans="1:12" s="22" customFormat="1" hidden="1" x14ac:dyDescent="0.25">
      <c r="A22" s="88" t="str">
        <f>"The cost base of your WAT or WFDT units is ZERO (0) for Parcel "&amp;B22&amp;C22&amp;D22&amp;E22&amp;F22&amp;G22&amp;H22&amp;I22&amp;J22&amp;K22&amp;"as at 7/06/2018. Refer to instructions."</f>
        <v>The cost base of your WAT or WFDT units is ZERO (0) for Parcel as at 7/06/2018. Refer to instructions.</v>
      </c>
      <c r="B22" s="88" t="str">
        <f>IF(SUMIF(B20:B21,"&gt;0")&gt;0,"1, ","")</f>
        <v/>
      </c>
      <c r="C22" s="88" t="str">
        <f>IF(SUMIF(C20:C21,"&gt;0")&gt;0,"2, ","")</f>
        <v/>
      </c>
      <c r="D22" s="88" t="str">
        <f>IF(SUMIF(D20:D21,"&gt;0")&gt;0,"3, ","")</f>
        <v/>
      </c>
      <c r="E22" s="88" t="str">
        <f>IF(SUMIF(E20:E21,"&gt;0")&gt;0,"4, ","")</f>
        <v/>
      </c>
      <c r="F22" s="88" t="str">
        <f>IF(SUMIF(F20:F21,"&gt;0")&gt;0,"5, ","")</f>
        <v/>
      </c>
      <c r="G22" s="88" t="str">
        <f>IF(SUMIF(G20:G21,"&gt;0")&gt;0,"6, ","")</f>
        <v/>
      </c>
      <c r="H22" s="88" t="str">
        <f>IF(SUMIF(H20:H21,"&gt;0")&gt;0,"7, ","")</f>
        <v/>
      </c>
      <c r="I22" s="88" t="str">
        <f>IF(SUMIF(I20:I21,"&gt;0")&gt;0,"8, ","")</f>
        <v/>
      </c>
      <c r="J22" s="88" t="str">
        <f>IF(SUMIF(J20:J21,"&gt;0")&gt;0,"9, ","")</f>
        <v/>
      </c>
      <c r="K22" s="88" t="str">
        <f>IF(SUMIF(K20:K21,"&gt;0")&gt;0,"10, ","")</f>
        <v/>
      </c>
    </row>
    <row r="23" spans="1:12" hidden="1" x14ac:dyDescent="0.25">
      <c r="B23" s="88" t="str">
        <f>IF(L21&gt;0,A22,"")</f>
        <v/>
      </c>
    </row>
    <row r="24" spans="1:12" x14ac:dyDescent="0.25">
      <c r="A24" s="88" t="s">
        <v>131</v>
      </c>
      <c r="B24" s="178" t="str">
        <f>IF(COUNTA('Manual Input'!B8:B10,'Manual Input'!B17:B19,'Manual Input'!B26:B28)=0,"AUTO","MANUAL")</f>
        <v>AUTO</v>
      </c>
      <c r="C24" s="178" t="str">
        <f>IF(COUNTA('Manual Input'!C8:C10,'Manual Input'!C17:C19,'Manual Input'!C26:C28)=0,"AUTO","MANUAL")</f>
        <v>AUTO</v>
      </c>
      <c r="D24" s="178" t="str">
        <f>IF(COUNTA('Manual Input'!D8:D10,'Manual Input'!D17:D19,'Manual Input'!D26:D28)=0,"AUTO","MANUAL")</f>
        <v>AUTO</v>
      </c>
      <c r="E24" s="178" t="str">
        <f>IF(COUNTA('Manual Input'!E8:E10,'Manual Input'!E17:E19,'Manual Input'!E26:E28)=0,"AUTO","MANUAL")</f>
        <v>AUTO</v>
      </c>
      <c r="F24" s="178" t="str">
        <f>IF(COUNTA('Manual Input'!F8:F10,'Manual Input'!F17:F19,'Manual Input'!F26:F28)=0,"AUTO","MANUAL")</f>
        <v>AUTO</v>
      </c>
      <c r="G24" s="178" t="str">
        <f>IF(COUNTA('Manual Input'!G8:G10,'Manual Input'!G17:G19,'Manual Input'!G26:G28)=0,"AUTO","MANUAL")</f>
        <v>AUTO</v>
      </c>
      <c r="H24" s="178" t="str">
        <f>IF(COUNTA('Manual Input'!H8:H10,'Manual Input'!H17:H19,'Manual Input'!H26:H28)=0,"AUTO","MANUAL")</f>
        <v>AUTO</v>
      </c>
      <c r="I24" s="178" t="str">
        <f>IF(COUNTA('Manual Input'!I8:I10,'Manual Input'!I17:I19,'Manual Input'!I26:I28)=0,"AUTO","MANUAL")</f>
        <v>AUTO</v>
      </c>
      <c r="J24" s="178" t="str">
        <f>IF(COUNTA('Manual Input'!J8:J10,'Manual Input'!J17:J19,'Manual Input'!J26:J28)=0,"AUTO","MANUAL")</f>
        <v>AUTO</v>
      </c>
      <c r="K24" s="178" t="str">
        <f>IF(COUNTA('Manual Input'!K8:K10,'Manual Input'!K17:K19,'Manual Input'!K26:K28)=0,"AUTO","MANUAL")</f>
        <v>AUTO</v>
      </c>
      <c r="L24">
        <f>SUM(L2:L18)</f>
        <v>0</v>
      </c>
    </row>
    <row r="25" spans="1:12" x14ac:dyDescent="0.25">
      <c r="A25" s="88" t="s">
        <v>133</v>
      </c>
      <c r="B25" t="str">
        <f>'Manual Input'!B30</f>
        <v/>
      </c>
      <c r="C25" s="22" t="str">
        <f>'Manual Input'!C30</f>
        <v/>
      </c>
      <c r="D25" s="22" t="str">
        <f>'Manual Input'!D30</f>
        <v/>
      </c>
      <c r="E25" s="22" t="str">
        <f>'Manual Input'!E30</f>
        <v/>
      </c>
      <c r="F25" s="22" t="str">
        <f>'Manual Input'!F30</f>
        <v/>
      </c>
      <c r="G25" s="22" t="str">
        <f>'Manual Input'!G30</f>
        <v/>
      </c>
      <c r="H25" s="22" t="str">
        <f>'Manual Input'!H30</f>
        <v/>
      </c>
      <c r="I25" s="22" t="str">
        <f>'Manual Input'!I30</f>
        <v/>
      </c>
      <c r="J25" s="22" t="str">
        <f>'Manual Input'!J30</f>
        <v/>
      </c>
      <c r="K25" s="22" t="str">
        <f>'Manual Input'!K30</f>
        <v/>
      </c>
    </row>
    <row r="26" spans="1:12" x14ac:dyDescent="0.25">
      <c r="A26" s="88" t="s">
        <v>132</v>
      </c>
      <c r="B26">
        <f>IF(B24="AUTO",'Summary Sheet'!C4*'Summary Sheet'!C5,'Error Checking'!B25*'Summary Sheet'!C4)</f>
        <v>0</v>
      </c>
      <c r="C26" s="22">
        <f>IF(C24="AUTO",'Summary Sheet'!D4*'Summary Sheet'!D5,'Error Checking'!C25*'Summary Sheet'!D4)</f>
        <v>0</v>
      </c>
      <c r="D26" s="22">
        <f>IF(D24="AUTO",'Summary Sheet'!E4*'Summary Sheet'!E5,'Error Checking'!D25*'Summary Sheet'!E4)</f>
        <v>0</v>
      </c>
      <c r="E26" s="22">
        <f>IF(E24="AUTO",'Summary Sheet'!F4*'Summary Sheet'!F5,'Error Checking'!E25*'Summary Sheet'!F4)</f>
        <v>0</v>
      </c>
      <c r="F26" s="22">
        <f>IF(F24="AUTO",'Summary Sheet'!G4*'Summary Sheet'!G5,'Error Checking'!F25*'Summary Sheet'!G4)</f>
        <v>0</v>
      </c>
      <c r="G26" s="22">
        <f>IF(G24="AUTO",'Summary Sheet'!H4*'Summary Sheet'!H5,'Error Checking'!G25*'Summary Sheet'!H4)</f>
        <v>0</v>
      </c>
      <c r="H26" s="22">
        <f>IF(H24="AUTO",'Summary Sheet'!I4*'Summary Sheet'!I5,'Error Checking'!H25*'Summary Sheet'!I4)</f>
        <v>0</v>
      </c>
      <c r="I26" s="22">
        <f>IF(I24="AUTO",'Summary Sheet'!J4*'Summary Sheet'!J5,'Error Checking'!I25*'Summary Sheet'!J4)</f>
        <v>0</v>
      </c>
      <c r="J26" s="22">
        <f>IF(J24="AUTO",'Summary Sheet'!K4*'Summary Sheet'!K5,'Error Checking'!J25*'Summary Sheet'!K4)</f>
        <v>0</v>
      </c>
      <c r="K26" s="22">
        <f>IF(K24="AUTO",'Summary Sheet'!L4*'Summary Sheet'!L5,'Error Checking'!K25*'Summary Sheet'!L4)</f>
        <v>0</v>
      </c>
    </row>
  </sheetData>
  <sheetProtection password="B45D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249977111117893"/>
  </sheetPr>
  <dimension ref="A1:AO42"/>
  <sheetViews>
    <sheetView workbookViewId="0">
      <pane xSplit="1" topLeftCell="B1" activePane="topRight" state="frozen"/>
      <selection activeCell="A18" sqref="A18:XFD25"/>
      <selection pane="topRight" sqref="A1:M1"/>
    </sheetView>
  </sheetViews>
  <sheetFormatPr defaultColWidth="0" defaultRowHeight="15" zeroHeight="1" x14ac:dyDescent="0.25"/>
  <cols>
    <col min="1" max="1" width="43.7109375" style="16" bestFit="1" customWidth="1"/>
    <col min="2" max="2" width="12.140625" style="16" bestFit="1" customWidth="1"/>
    <col min="3" max="3" width="9.85546875" style="16" customWidth="1"/>
    <col min="4" max="4" width="7.28515625" style="16" bestFit="1" customWidth="1"/>
    <col min="5" max="8" width="9.140625" style="16" customWidth="1"/>
    <col min="9" max="10" width="10.5703125" style="16" bestFit="1" customWidth="1"/>
    <col min="11" max="11" width="9.5703125" style="16" bestFit="1" customWidth="1"/>
    <col min="12" max="13" width="9.140625" style="16" customWidth="1"/>
    <col min="14" max="14" width="10.28515625" style="67" bestFit="1" customWidth="1"/>
    <col min="15" max="15" width="9.140625" style="67" customWidth="1"/>
    <col min="16" max="16" width="10.140625" style="67" bestFit="1" customWidth="1"/>
    <col min="17" max="18" width="9.140625" style="16" customWidth="1"/>
    <col min="19" max="20" width="10.140625" style="16" bestFit="1" customWidth="1"/>
    <col min="21" max="22" width="9.140625" style="16" customWidth="1"/>
    <col min="23" max="24" width="10.140625" style="16" bestFit="1" customWidth="1"/>
    <col min="25" max="26" width="9.140625" style="16" customWidth="1"/>
    <col min="27" max="28" width="10.140625" style="16" bestFit="1" customWidth="1"/>
    <col min="29" max="30" width="9.140625" style="16" customWidth="1"/>
    <col min="31" max="32" width="10.140625" style="16" bestFit="1" customWidth="1"/>
    <col min="33" max="34" width="9.140625" style="16" customWidth="1"/>
    <col min="35" max="36" width="10.140625" style="16" bestFit="1" customWidth="1"/>
    <col min="37" max="38" width="9.140625" style="16" customWidth="1"/>
    <col min="39" max="40" width="10.140625" style="16" bestFit="1" customWidth="1"/>
    <col min="41" max="41" width="9.140625" style="16" customWidth="1"/>
    <col min="42" max="16384" width="9.140625" style="16" hidden="1"/>
  </cols>
  <sheetData>
    <row r="1" spans="1:41" s="22" customFormat="1" x14ac:dyDescent="0.25">
      <c r="A1" s="286" t="s">
        <v>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142"/>
      <c r="O1" s="142"/>
      <c r="P1" s="142"/>
    </row>
    <row r="2" spans="1:41" s="22" customFormat="1" x14ac:dyDescent="0.25">
      <c r="E2" s="16"/>
      <c r="I2" s="16"/>
      <c r="M2" s="16"/>
      <c r="N2" s="142"/>
      <c r="O2" s="142"/>
      <c r="P2" s="142"/>
    </row>
    <row r="3" spans="1:41" s="22" customFormat="1" x14ac:dyDescent="0.25">
      <c r="B3" s="287" t="s">
        <v>32</v>
      </c>
      <c r="C3" s="288"/>
      <c r="D3" s="288"/>
      <c r="E3" s="289"/>
      <c r="F3" s="287" t="s">
        <v>36</v>
      </c>
      <c r="G3" s="288"/>
      <c r="H3" s="288"/>
      <c r="I3" s="289"/>
      <c r="J3" s="287" t="s">
        <v>37</v>
      </c>
      <c r="K3" s="288"/>
      <c r="L3" s="288"/>
      <c r="M3" s="289"/>
      <c r="N3" s="288" t="s">
        <v>72</v>
      </c>
      <c r="O3" s="288"/>
      <c r="P3" s="288"/>
      <c r="Q3" s="289"/>
      <c r="R3" s="287" t="s">
        <v>73</v>
      </c>
      <c r="S3" s="288"/>
      <c r="T3" s="288"/>
      <c r="U3" s="289"/>
      <c r="V3" s="287" t="s">
        <v>74</v>
      </c>
      <c r="W3" s="288"/>
      <c r="X3" s="288"/>
      <c r="Y3" s="289"/>
      <c r="Z3" s="287" t="s">
        <v>75</v>
      </c>
      <c r="AA3" s="288"/>
      <c r="AB3" s="288"/>
      <c r="AC3" s="289"/>
      <c r="AD3" s="287" t="s">
        <v>76</v>
      </c>
      <c r="AE3" s="288"/>
      <c r="AF3" s="288"/>
      <c r="AG3" s="289"/>
      <c r="AH3" s="287" t="s">
        <v>77</v>
      </c>
      <c r="AI3" s="288"/>
      <c r="AJ3" s="288"/>
      <c r="AK3" s="289"/>
      <c r="AL3" s="287" t="s">
        <v>78</v>
      </c>
      <c r="AM3" s="288"/>
      <c r="AN3" s="288"/>
      <c r="AO3" s="289"/>
    </row>
    <row r="4" spans="1:41" s="22" customFormat="1" x14ac:dyDescent="0.25">
      <c r="B4" s="54" t="s">
        <v>13</v>
      </c>
      <c r="C4" s="35" t="s">
        <v>1</v>
      </c>
      <c r="D4" s="35" t="s">
        <v>4</v>
      </c>
      <c r="E4" s="50" t="s">
        <v>0</v>
      </c>
      <c r="F4" s="54" t="s">
        <v>13</v>
      </c>
      <c r="G4" s="35" t="s">
        <v>1</v>
      </c>
      <c r="H4" s="35" t="s">
        <v>4</v>
      </c>
      <c r="I4" s="50" t="s">
        <v>0</v>
      </c>
      <c r="J4" s="54" t="s">
        <v>13</v>
      </c>
      <c r="K4" s="35" t="s">
        <v>1</v>
      </c>
      <c r="L4" s="35" t="s">
        <v>4</v>
      </c>
      <c r="M4" s="50" t="s">
        <v>0</v>
      </c>
      <c r="N4" s="49" t="s">
        <v>13</v>
      </c>
      <c r="O4" s="49" t="s">
        <v>1</v>
      </c>
      <c r="P4" s="49" t="s">
        <v>4</v>
      </c>
      <c r="Q4" s="50" t="s">
        <v>0</v>
      </c>
      <c r="R4" s="54" t="s">
        <v>13</v>
      </c>
      <c r="S4" s="35" t="s">
        <v>1</v>
      </c>
      <c r="T4" s="35" t="s">
        <v>4</v>
      </c>
      <c r="U4" s="50" t="s">
        <v>0</v>
      </c>
      <c r="V4" s="54" t="s">
        <v>13</v>
      </c>
      <c r="W4" s="35" t="s">
        <v>1</v>
      </c>
      <c r="X4" s="35" t="s">
        <v>4</v>
      </c>
      <c r="Y4" s="50" t="s">
        <v>0</v>
      </c>
      <c r="Z4" s="54" t="s">
        <v>13</v>
      </c>
      <c r="AA4" s="35" t="s">
        <v>1</v>
      </c>
      <c r="AB4" s="35" t="s">
        <v>4</v>
      </c>
      <c r="AC4" s="50" t="s">
        <v>0</v>
      </c>
      <c r="AD4" s="54" t="s">
        <v>13</v>
      </c>
      <c r="AE4" s="35" t="s">
        <v>1</v>
      </c>
      <c r="AF4" s="35" t="s">
        <v>4</v>
      </c>
      <c r="AG4" s="50" t="s">
        <v>0</v>
      </c>
      <c r="AH4" s="54" t="s">
        <v>13</v>
      </c>
      <c r="AI4" s="35" t="s">
        <v>1</v>
      </c>
      <c r="AJ4" s="35" t="s">
        <v>4</v>
      </c>
      <c r="AK4" s="50" t="s">
        <v>0</v>
      </c>
      <c r="AL4" s="54" t="s">
        <v>13</v>
      </c>
      <c r="AM4" s="35" t="s">
        <v>1</v>
      </c>
      <c r="AN4" s="35" t="s">
        <v>4</v>
      </c>
      <c r="AO4" s="50" t="s">
        <v>0</v>
      </c>
    </row>
    <row r="5" spans="1:41" s="22" customFormat="1" x14ac:dyDescent="0.25">
      <c r="A5" s="22" t="s">
        <v>44</v>
      </c>
      <c r="B5" s="58" t="e">
        <f>'Manual Input'!B45</f>
        <v>#N/A</v>
      </c>
      <c r="C5" s="59" t="e">
        <f>'Manual Input'!B46</f>
        <v>#N/A</v>
      </c>
      <c r="D5" s="59" t="e">
        <f>'Manual Input'!B47</f>
        <v>#N/A</v>
      </c>
      <c r="E5" s="50" t="e">
        <f>SUM(B5:D5)</f>
        <v>#N/A</v>
      </c>
      <c r="F5" s="58" t="e">
        <f>'Manual Input'!C45</f>
        <v>#N/A</v>
      </c>
      <c r="G5" s="59" t="e">
        <f>'Manual Input'!C46</f>
        <v>#N/A</v>
      </c>
      <c r="H5" s="59" t="e">
        <f>'Manual Input'!C47</f>
        <v>#N/A</v>
      </c>
      <c r="I5" s="50" t="e">
        <f>SUM(F5:H5)</f>
        <v>#N/A</v>
      </c>
      <c r="J5" s="58" t="e">
        <f>'Manual Input'!D45</f>
        <v>#N/A</v>
      </c>
      <c r="K5" s="59" t="e">
        <f>'Manual Input'!D46</f>
        <v>#N/A</v>
      </c>
      <c r="L5" s="59" t="e">
        <f>'Manual Input'!D47</f>
        <v>#N/A</v>
      </c>
      <c r="M5" s="50" t="e">
        <f>SUM(J5:L5)</f>
        <v>#N/A</v>
      </c>
      <c r="N5" s="59" t="e">
        <f>'Manual Input'!E45</f>
        <v>#N/A</v>
      </c>
      <c r="O5" s="59" t="e">
        <f>'Manual Input'!E46</f>
        <v>#N/A</v>
      </c>
      <c r="P5" s="59" t="e">
        <f>'Manual Input'!E47</f>
        <v>#N/A</v>
      </c>
      <c r="Q5" s="50" t="e">
        <f>SUM(N5:P5)</f>
        <v>#N/A</v>
      </c>
      <c r="R5" s="58" t="e">
        <f>'Manual Input'!F45</f>
        <v>#N/A</v>
      </c>
      <c r="S5" s="59" t="e">
        <f>'Manual Input'!F46</f>
        <v>#N/A</v>
      </c>
      <c r="T5" s="59" t="e">
        <f>'Manual Input'!F47</f>
        <v>#N/A</v>
      </c>
      <c r="U5" s="50" t="e">
        <f>SUM(R5:T5)</f>
        <v>#N/A</v>
      </c>
      <c r="V5" s="58" t="e">
        <f>'Manual Input'!G45</f>
        <v>#N/A</v>
      </c>
      <c r="W5" s="59" t="e">
        <f>'Manual Input'!G46</f>
        <v>#N/A</v>
      </c>
      <c r="X5" s="59" t="e">
        <f>'Manual Input'!G47</f>
        <v>#N/A</v>
      </c>
      <c r="Y5" s="50" t="e">
        <f>SUM(V5:X5)</f>
        <v>#N/A</v>
      </c>
      <c r="Z5" s="58" t="e">
        <f>'Manual Input'!H45</f>
        <v>#N/A</v>
      </c>
      <c r="AA5" s="59" t="e">
        <f>'Manual Input'!H46</f>
        <v>#N/A</v>
      </c>
      <c r="AB5" s="59" t="e">
        <f>'Manual Input'!H47</f>
        <v>#N/A</v>
      </c>
      <c r="AC5" s="50" t="e">
        <f>SUM(Z5:AB5)</f>
        <v>#N/A</v>
      </c>
      <c r="AD5" s="58" t="e">
        <f>'Manual Input'!I45</f>
        <v>#N/A</v>
      </c>
      <c r="AE5" s="59" t="e">
        <f>'Manual Input'!I46</f>
        <v>#N/A</v>
      </c>
      <c r="AF5" s="59" t="e">
        <f>'Manual Input'!I47</f>
        <v>#N/A</v>
      </c>
      <c r="AG5" s="50" t="e">
        <f>SUM(AD5:AF5)</f>
        <v>#N/A</v>
      </c>
      <c r="AH5" s="58" t="e">
        <f>'Manual Input'!J45</f>
        <v>#N/A</v>
      </c>
      <c r="AI5" s="59" t="e">
        <f>'Manual Input'!J46</f>
        <v>#N/A</v>
      </c>
      <c r="AJ5" s="59" t="e">
        <f>'Manual Input'!J47</f>
        <v>#N/A</v>
      </c>
      <c r="AK5" s="50" t="e">
        <f>SUM(AH5:AJ5)</f>
        <v>#N/A</v>
      </c>
      <c r="AL5" s="58" t="e">
        <f>'Manual Input'!K45</f>
        <v>#N/A</v>
      </c>
      <c r="AM5" s="59" t="e">
        <f>'Manual Input'!K46</f>
        <v>#N/A</v>
      </c>
      <c r="AN5" s="59" t="e">
        <f>'Manual Input'!K47</f>
        <v>#N/A</v>
      </c>
      <c r="AO5" s="50" t="e">
        <f>SUM(AL5:AN5)</f>
        <v>#N/A</v>
      </c>
    </row>
    <row r="6" spans="1:41" s="22" customFormat="1" x14ac:dyDescent="0.25">
      <c r="A6" s="22" t="s">
        <v>43</v>
      </c>
      <c r="B6" s="75" t="e">
        <f>'Summary Sheet'!$C$5*LOOKUP(2,1/(NTA!$A$3:$A$11&lt;='Summary Sheet'!$C$3)/(NTA!$B$3:$B$11&gt;='Summary Sheet'!$C$3),NTA!$C$3:$C$11)</f>
        <v>#N/A</v>
      </c>
      <c r="C6" s="76" t="e">
        <f>'Summary Sheet'!$C$5*LOOKUP(2,1/(NTA!$A$3:$A$11&lt;='Summary Sheet'!$C$3)/(NTA!$B$3:$B$11&gt;='Summary Sheet'!$C$3),NTA!$D$3:$D$11)</f>
        <v>#N/A</v>
      </c>
      <c r="D6" s="76" t="e">
        <f>'Summary Sheet'!$C$5*LOOKUP(2,1/(NTA!$A$3:$A$11&lt;='Summary Sheet'!$C$3)/(NTA!$B$3:$B$11&gt;='Summary Sheet'!$C$3),NTA!$E$3:$E$11)</f>
        <v>#N/A</v>
      </c>
      <c r="E6" s="77" t="e">
        <f>SUM(B6:D6)</f>
        <v>#N/A</v>
      </c>
      <c r="F6" s="64" t="e">
        <f>'Summary Sheet'!$D$5*LOOKUP(2,1/(NTA!$A$3:$A$11&lt;='Summary Sheet'!$D$3)/(NTA!$B$3:$B$11&gt;='Summary Sheet'!$D$3),NTA!$C$3:$C$11)</f>
        <v>#N/A</v>
      </c>
      <c r="G6" s="65" t="e">
        <f>'Summary Sheet'!$D$5*LOOKUP(2,1/(NTA!$A$3:$A$11&lt;='Summary Sheet'!$D$3)/(NTA!$B$3:$B$11&gt;='Summary Sheet'!$D$3),NTA!$D$3:$D$11)</f>
        <v>#N/A</v>
      </c>
      <c r="H6" s="65" t="e">
        <f>'Summary Sheet'!$D$5*LOOKUP(2,1/(NTA!$A$3:$A$11&lt;='Summary Sheet'!$D$3)/(NTA!$B$3:$B$11&gt;='Summary Sheet'!$D$3),NTA!$E$3:$E$11)</f>
        <v>#N/A</v>
      </c>
      <c r="I6" s="66" t="e">
        <f>SUM(F6:H6)</f>
        <v>#N/A</v>
      </c>
      <c r="J6" s="96" t="e">
        <f>'Summary Sheet'!$E$5*LOOKUP(2,1/(NTA!$A$3:$A$11&lt;='Summary Sheet'!$E$3)/(NTA!$B$3:$B$11&gt;='Summary Sheet'!$E$3),NTA!$C$3:$C$11)</f>
        <v>#N/A</v>
      </c>
      <c r="K6" s="106" t="e">
        <f>'Summary Sheet'!$E$5*LOOKUP(2,1/(NTA!$A$3:$A$11&lt;='Summary Sheet'!$E$3)/(NTA!$B$3:$B$11&gt;='Summary Sheet'!$E$3),NTA!$D$3:$D$11)</f>
        <v>#N/A</v>
      </c>
      <c r="L6" s="106" t="e">
        <f>'Summary Sheet'!$E$5*LOOKUP(2,1/(NTA!$A$3:$A$11&lt;='Summary Sheet'!$E$3)/(NTA!$B$3:$B$11&gt;='Summary Sheet'!$E$3),NTA!$E$3:$E$11)</f>
        <v>#N/A</v>
      </c>
      <c r="M6" s="107" t="e">
        <f>SUM(J6:L6)</f>
        <v>#N/A</v>
      </c>
      <c r="N6" s="162" t="e">
        <f>'Summary Sheet'!$F$5*LOOKUP(2,1/(NTA!$A$3:$A$11&lt;='Summary Sheet'!$F$3)/(NTA!$B$3:$B$11&gt;='Summary Sheet'!$F$3),NTA!$C$3:$C$11)</f>
        <v>#N/A</v>
      </c>
      <c r="O6" s="162" t="e">
        <f>'Summary Sheet'!$F$5*LOOKUP(2,1/(NTA!$A$3:$A$11&lt;='Summary Sheet'!$F$3)/(NTA!$B$3:$B$11&gt;='Summary Sheet'!$F$3),NTA!$D$3:$D$11)</f>
        <v>#N/A</v>
      </c>
      <c r="P6" s="162" t="e">
        <f>'Summary Sheet'!$F$5*LOOKUP(2,1/(NTA!$A$3:$A$11&lt;='Summary Sheet'!$F$3)/(NTA!$B$3:$B$11&gt;='Summary Sheet'!$F$3),NTA!$E$3:$E$11)</f>
        <v>#N/A</v>
      </c>
      <c r="Q6" s="52" t="e">
        <f>SUM(N6:P6)</f>
        <v>#N/A</v>
      </c>
      <c r="R6" s="57" t="e">
        <f>'Summary Sheet'!$G$5*LOOKUP(2,1/(NTA!$A$3:$A$11&lt;='Summary Sheet'!$G$3)/(NTA!$B$3:$B$11&gt;='Summary Sheet'!$G$3),NTA!$C$3:$C$11)</f>
        <v>#N/A</v>
      </c>
      <c r="S6" s="53" t="e">
        <f>'Summary Sheet'!$G$5*LOOKUP(2,1/(NTA!$A$3:$A$11&lt;='Summary Sheet'!$G$3)/(NTA!$B$3:$B$11&gt;='Summary Sheet'!$G$3),NTA!$D$3:$D$11)</f>
        <v>#N/A</v>
      </c>
      <c r="T6" s="53" t="e">
        <f>'Summary Sheet'!$G$5*LOOKUP(2,1/(NTA!$A$3:$A$11&lt;='Summary Sheet'!$G$3)/(NTA!$B$3:$B$11&gt;='Summary Sheet'!$G$3),NTA!$E$3:$E$11)</f>
        <v>#N/A</v>
      </c>
      <c r="U6" s="52" t="e">
        <f>SUM(R6:T6)</f>
        <v>#N/A</v>
      </c>
      <c r="V6" s="57" t="e">
        <f>'Summary Sheet'!$H$5*LOOKUP(2,1/(NTA!$A$3:$A$11&lt;='Summary Sheet'!$H$3)/(NTA!$B$3:$B$11&gt;='Summary Sheet'!$H$3),NTA!$C$3:$C$11)</f>
        <v>#N/A</v>
      </c>
      <c r="W6" s="53" t="e">
        <f>'Summary Sheet'!$H$5*LOOKUP(2,1/(NTA!$A$3:$A$11&lt;='Summary Sheet'!$H$3)/(NTA!$B$3:$B$11&gt;='Summary Sheet'!$H$3),NTA!$D$3:$D$11)</f>
        <v>#N/A</v>
      </c>
      <c r="X6" s="53" t="e">
        <f>'Summary Sheet'!$H$5*LOOKUP(2,1/(NTA!$A$3:$A$11&lt;='Summary Sheet'!$H$3)/(NTA!$B$3:$B$11&gt;='Summary Sheet'!$H$3),NTA!$E$3:$E$11)</f>
        <v>#N/A</v>
      </c>
      <c r="Y6" s="52" t="e">
        <f>SUM(V6:X6)</f>
        <v>#N/A</v>
      </c>
      <c r="Z6" s="57" t="e">
        <f>'Summary Sheet'!$I$5*LOOKUP(2,1/(NTA!$A$3:$A$11&lt;='Summary Sheet'!$I$3)/(NTA!$B$3:$B$11&gt;='Summary Sheet'!$I$3),NTA!$C$3:$C$11)</f>
        <v>#N/A</v>
      </c>
      <c r="AA6" s="53" t="e">
        <f>'Summary Sheet'!$I$5*LOOKUP(2,1/(NTA!$A$3:$A$11&lt;='Summary Sheet'!$I$3)/(NTA!$B$3:$B$11&gt;='Summary Sheet'!$I$3),NTA!$D$3:$D$11)</f>
        <v>#N/A</v>
      </c>
      <c r="AB6" s="53" t="e">
        <f>'Summary Sheet'!$I$5*LOOKUP(2,1/(NTA!$A$3:$A$11&lt;='Summary Sheet'!$I$3)/(NTA!$B$3:$B$11&gt;='Summary Sheet'!$I$3),NTA!$E$3:$E$11)</f>
        <v>#N/A</v>
      </c>
      <c r="AC6" s="52" t="e">
        <f>SUM(Z6:AB6)</f>
        <v>#N/A</v>
      </c>
      <c r="AD6" s="57" t="e">
        <f>'Summary Sheet'!$J$5*LOOKUP(2,1/(NTA!$A$3:$A$11&lt;='Summary Sheet'!$J$3)/(NTA!$B$3:$B$11&gt;='Summary Sheet'!$J$3),NTA!$C$3:$C$11)</f>
        <v>#N/A</v>
      </c>
      <c r="AE6" s="53" t="e">
        <f>'Summary Sheet'!$J$5*LOOKUP(2,1/(NTA!$A$3:$A$11&lt;='Summary Sheet'!$J$3)/(NTA!$B$3:$B$11&gt;='Summary Sheet'!$J$3),NTA!$D$3:$D$11)</f>
        <v>#N/A</v>
      </c>
      <c r="AF6" s="53" t="e">
        <f>'Summary Sheet'!$J$5*LOOKUP(2,1/(NTA!$A$3:$A$11&lt;='Summary Sheet'!$J$3)/(NTA!$B$3:$B$11&gt;='Summary Sheet'!$J$3),NTA!$E$3:$E$11)</f>
        <v>#N/A</v>
      </c>
      <c r="AG6" s="52" t="e">
        <f>SUM(AD6:AF6)</f>
        <v>#N/A</v>
      </c>
      <c r="AH6" s="57" t="e">
        <f>'Summary Sheet'!$K$5*LOOKUP(2,1/(NTA!$A$3:$A$11&lt;='Summary Sheet'!$K$3)/(NTA!$B$3:$B$11&gt;='Summary Sheet'!$K$3),NTA!$C$3:$C$11)</f>
        <v>#N/A</v>
      </c>
      <c r="AI6" s="53" t="e">
        <f>'Summary Sheet'!$K$5*LOOKUP(2,1/(NTA!$A$3:$A$11&lt;='Summary Sheet'!$K$3)/(NTA!$B$3:$B$11&gt;='Summary Sheet'!$K$3),NTA!$D$3:$D$11)</f>
        <v>#N/A</v>
      </c>
      <c r="AJ6" s="53" t="e">
        <f>'Summary Sheet'!$K$5*LOOKUP(2,1/(NTA!$A$3:$A$11&lt;='Summary Sheet'!$K$3)/(NTA!$B$3:$B$11&gt;='Summary Sheet'!$K$3),NTA!$E$3:$E$11)</f>
        <v>#N/A</v>
      </c>
      <c r="AK6" s="52" t="e">
        <f>SUM(AH6:AJ6)</f>
        <v>#N/A</v>
      </c>
      <c r="AL6" s="57" t="e">
        <f>'Summary Sheet'!$L$5*LOOKUP(2,1/(NTA!$A$3:$A$11&lt;='Summary Sheet'!$L$3)/(NTA!$B$3:$B$11&gt;='Summary Sheet'!$L$3),NTA!$C$3:$C$11)</f>
        <v>#N/A</v>
      </c>
      <c r="AM6" s="53" t="e">
        <f>'Summary Sheet'!$L$5*LOOKUP(2,1/(NTA!$A$3:$A$11&lt;='Summary Sheet'!$L$3)/(NTA!$B$3:$B$11&gt;='Summary Sheet'!$L$3),NTA!$D$3:$D$11)</f>
        <v>#N/A</v>
      </c>
      <c r="AN6" s="53" t="e">
        <f>'Summary Sheet'!$L$5*LOOKUP(2,1/(NTA!$A$3:$A$11&lt;='Summary Sheet'!$L$3)/(NTA!$B$3:$B$11&gt;='Summary Sheet'!$L$3),NTA!$E$3:$E$11)</f>
        <v>#N/A</v>
      </c>
      <c r="AO6" s="52" t="e">
        <f>SUM(AL6:AN6)</f>
        <v>#N/A</v>
      </c>
    </row>
    <row r="7" spans="1:41" s="22" customFormat="1" x14ac:dyDescent="0.25">
      <c r="A7" s="22" t="s">
        <v>90</v>
      </c>
      <c r="B7" s="75" t="e">
        <f>IF(ISNA(B5),B6,B5)</f>
        <v>#N/A</v>
      </c>
      <c r="C7" s="76" t="e">
        <f>IF(ISNA(C5),C6,C5)</f>
        <v>#N/A</v>
      </c>
      <c r="D7" s="76" t="e">
        <f>IF(ISNA(D5),D6,D5)</f>
        <v>#N/A</v>
      </c>
      <c r="E7" s="77" t="e">
        <f>SUM(B7:D7)</f>
        <v>#N/A</v>
      </c>
      <c r="F7" s="64" t="e">
        <f>IF(ISNA(F5),F6,F5)</f>
        <v>#N/A</v>
      </c>
      <c r="G7" s="65" t="e">
        <f>IF(ISNA(G5),G6,G5)</f>
        <v>#N/A</v>
      </c>
      <c r="H7" s="65" t="e">
        <f>IF(ISNA(H5),H6,H5)</f>
        <v>#N/A</v>
      </c>
      <c r="I7" s="66" t="e">
        <f>SUM(F7:H7)</f>
        <v>#N/A</v>
      </c>
      <c r="J7" s="96" t="e">
        <f>IF(ISNA(J5),J6,J5)</f>
        <v>#N/A</v>
      </c>
      <c r="K7" s="106" t="e">
        <f>IF(ISNA(K5),K6,K5)</f>
        <v>#N/A</v>
      </c>
      <c r="L7" s="106" t="e">
        <f>IF(ISNA(L5),L6,L5)</f>
        <v>#N/A</v>
      </c>
      <c r="M7" s="107" t="e">
        <f>SUM(J7:L7)</f>
        <v>#N/A</v>
      </c>
      <c r="N7" s="162" t="e">
        <f>IF(ISNA(N5),N6,N5)</f>
        <v>#N/A</v>
      </c>
      <c r="O7" s="162" t="e">
        <f>IF(ISNA(O5),O6,O5)</f>
        <v>#N/A</v>
      </c>
      <c r="P7" s="162" t="e">
        <f>IF(ISNA(P5),P6,P5)</f>
        <v>#N/A</v>
      </c>
      <c r="Q7" s="52" t="e">
        <f>SUM(N7:P7)</f>
        <v>#N/A</v>
      </c>
      <c r="R7" s="57" t="e">
        <f>IF(ISNA(R5),R6,R5)</f>
        <v>#N/A</v>
      </c>
      <c r="S7" s="53" t="e">
        <f>IF(ISNA(S5),S6,S5)</f>
        <v>#N/A</v>
      </c>
      <c r="T7" s="53" t="e">
        <f>IF(ISNA(T5),T6,T5)</f>
        <v>#N/A</v>
      </c>
      <c r="U7" s="52" t="e">
        <f>SUM(R7:T7)</f>
        <v>#N/A</v>
      </c>
      <c r="V7" s="57" t="e">
        <f>IF(ISNA(V5),V6,V5)</f>
        <v>#N/A</v>
      </c>
      <c r="W7" s="53" t="e">
        <f>IF(ISNA(W5),W6,W5)</f>
        <v>#N/A</v>
      </c>
      <c r="X7" s="53" t="e">
        <f>IF(ISNA(X5),X6,X5)</f>
        <v>#N/A</v>
      </c>
      <c r="Y7" s="52" t="e">
        <f>SUM(V7:X7)</f>
        <v>#N/A</v>
      </c>
      <c r="Z7" s="57" t="e">
        <f>IF(ISNA(Z5),Z6,Z5)</f>
        <v>#N/A</v>
      </c>
      <c r="AA7" s="53" t="e">
        <f>IF(ISNA(AA5),AA6,AA5)</f>
        <v>#N/A</v>
      </c>
      <c r="AB7" s="53" t="e">
        <f>IF(ISNA(AB5),AB6,AB5)</f>
        <v>#N/A</v>
      </c>
      <c r="AC7" s="52" t="e">
        <f>SUM(Z7:AB7)</f>
        <v>#N/A</v>
      </c>
      <c r="AD7" s="57" t="e">
        <f>IF(ISNA(AD5),AD6,AD5)</f>
        <v>#N/A</v>
      </c>
      <c r="AE7" s="53" t="e">
        <f>IF(ISNA(AE5),AE6,AE5)</f>
        <v>#N/A</v>
      </c>
      <c r="AF7" s="53" t="e">
        <f>IF(ISNA(AF5),AF6,AF5)</f>
        <v>#N/A</v>
      </c>
      <c r="AG7" s="52" t="e">
        <f>SUM(AD7:AF7)</f>
        <v>#N/A</v>
      </c>
      <c r="AH7" s="57" t="e">
        <f>IF(ISNA(AH5),AH6,AH5)</f>
        <v>#N/A</v>
      </c>
      <c r="AI7" s="53" t="e">
        <f>IF(ISNA(AI5),AI6,AI5)</f>
        <v>#N/A</v>
      </c>
      <c r="AJ7" s="53" t="e">
        <f>IF(ISNA(AJ5),AJ6,AJ5)</f>
        <v>#N/A</v>
      </c>
      <c r="AK7" s="52" t="e">
        <f>SUM(AH7:AJ7)</f>
        <v>#N/A</v>
      </c>
      <c r="AL7" s="57" t="e">
        <f>IF(ISNA(AL5),AL6,AL5)</f>
        <v>#N/A</v>
      </c>
      <c r="AM7" s="53" t="e">
        <f>IF(ISNA(AM5),AM6,AM5)</f>
        <v>#N/A</v>
      </c>
      <c r="AN7" s="53" t="e">
        <f>IF(ISNA(AN5),AN6,AN5)</f>
        <v>#N/A</v>
      </c>
      <c r="AO7" s="52" t="e">
        <f>SUM(AL7:AN7)</f>
        <v>#N/A</v>
      </c>
    </row>
    <row r="8" spans="1:41" s="22" customFormat="1" x14ac:dyDescent="0.25">
      <c r="A8" s="22" t="s">
        <v>55</v>
      </c>
      <c r="B8" s="75"/>
      <c r="C8" s="76" t="e">
        <f>-LOOKUP(2,1/(TDD!$A$4:$A$12&lt;='Summary Sheet'!$C$3)/(TDD!$B$4:$B$12&gt;='Summary Sheet'!$C$3),TDD!$E$4:$E$12)</f>
        <v>#N/A</v>
      </c>
      <c r="D8" s="76" t="e">
        <f>-LOOKUP(2,1/(TDD!$A$4:$A$12&lt;='Summary Sheet'!$C$3)/(TDD!$B$4:$B$12&gt;='Summary Sheet'!$C$3),TDD!$G$4:$G$12)</f>
        <v>#N/A</v>
      </c>
      <c r="E8" s="77" t="e">
        <f>SUM(B8:D8)</f>
        <v>#N/A</v>
      </c>
      <c r="F8" s="54"/>
      <c r="G8" s="65" t="e">
        <f>-LOOKUP(2,1/(TDD!$A$4:$A$12&lt;='Summary Sheet'!$D$3)/(TDD!$B$4:$B$12&gt;='Summary Sheet'!$D$3),TDD!$E$4:$E$12)</f>
        <v>#N/A</v>
      </c>
      <c r="H8" s="65" t="e">
        <f>-LOOKUP(2,1/(TDD!$A$4:$A$12&lt;='Summary Sheet'!$D$3)/(TDD!$B$4:$B$12&gt;='Summary Sheet'!$D$3),TDD!$G$4:$G$12)</f>
        <v>#N/A</v>
      </c>
      <c r="I8" s="66" t="e">
        <f>SUM(F8:H8)</f>
        <v>#N/A</v>
      </c>
      <c r="J8" s="54"/>
      <c r="K8" s="106" t="e">
        <f>-LOOKUP(2,1/(TDD!$A$4:$A$12&lt;='Summary Sheet'!$E$3)/(TDD!$B$4:$B$12&gt;='Summary Sheet'!$E$3),TDD!$E$4:$E$12)</f>
        <v>#N/A</v>
      </c>
      <c r="L8" s="106" t="e">
        <f>-LOOKUP(2,1/(TDD!$A$4:$A$12&lt;='Summary Sheet'!$E$3)/(TDD!$B$4:$B$12&gt;='Summary Sheet'!$E$3),TDD!$G$4:$G$12)</f>
        <v>#N/A</v>
      </c>
      <c r="M8" s="107" t="e">
        <f>SUM(J8:L8)</f>
        <v>#N/A</v>
      </c>
      <c r="N8" s="49"/>
      <c r="O8" s="162" t="e">
        <f>-LOOKUP(2,1/(TDD!$A$4:$A$12&lt;='Summary Sheet'!$F$3)/(TDD!$B$4:$B$12&gt;='Summary Sheet'!$F$3),TDD!$E$4:$E$12)</f>
        <v>#N/A</v>
      </c>
      <c r="P8" s="162" t="e">
        <f>-LOOKUP(2,1/(TDD!$A$4:$A$12&lt;='Summary Sheet'!$F$3)/(TDD!$B$4:$B$12&gt;='Summary Sheet'!$F$3),TDD!$G$4:$G$12)</f>
        <v>#N/A</v>
      </c>
      <c r="Q8" s="52" t="e">
        <f>SUM(N8:P8)</f>
        <v>#N/A</v>
      </c>
      <c r="R8" s="54"/>
      <c r="S8" s="53" t="e">
        <f>-LOOKUP(2,1/(TDD!$A$4:$A$12&lt;='Summary Sheet'!$G$3)/(TDD!$B$4:$B$12&gt;='Summary Sheet'!$G$3),TDD!$E$4:$E$12)</f>
        <v>#N/A</v>
      </c>
      <c r="T8" s="53" t="e">
        <f>-LOOKUP(2,1/(TDD!$A$4:$A$12&lt;='Summary Sheet'!$G$3)/(TDD!$B$4:$B$12&gt;='Summary Sheet'!$G$3),TDD!$G$4:$G$12)</f>
        <v>#N/A</v>
      </c>
      <c r="U8" s="52" t="e">
        <f>SUM(R8:T8)</f>
        <v>#N/A</v>
      </c>
      <c r="V8" s="54"/>
      <c r="W8" s="53" t="e">
        <f>-LOOKUP(2,1/(TDD!$A$4:$A$12&lt;='Summary Sheet'!$H$3)/(TDD!$B$4:$B$12&gt;='Summary Sheet'!$H$3),TDD!$E$4:$E$12)</f>
        <v>#N/A</v>
      </c>
      <c r="X8" s="53" t="e">
        <f>-LOOKUP(2,1/(TDD!$A$4:$A$12&lt;='Summary Sheet'!$H$3)/(TDD!$B$4:$B$12&gt;='Summary Sheet'!$H$3),TDD!$G$4:$G$12)</f>
        <v>#N/A</v>
      </c>
      <c r="Y8" s="52" t="e">
        <f>SUM(V8:X8)</f>
        <v>#N/A</v>
      </c>
      <c r="Z8" s="54"/>
      <c r="AA8" s="53" t="e">
        <f>-LOOKUP(2,1/(TDD!$A$4:$A$12&lt;='Summary Sheet'!$I$3)/(TDD!$B$4:$B$12&gt;='Summary Sheet'!$I$3),TDD!$E$4:$E$12)</f>
        <v>#N/A</v>
      </c>
      <c r="AB8" s="53" t="e">
        <f>-LOOKUP(2,1/(TDD!$A$4:$A$12&lt;='Summary Sheet'!$I$3)/(TDD!$B$4:$B$12&gt;='Summary Sheet'!$I$3),TDD!$G$4:$G$12)</f>
        <v>#N/A</v>
      </c>
      <c r="AC8" s="52" t="e">
        <f>SUM(Z8:AB8)</f>
        <v>#N/A</v>
      </c>
      <c r="AD8" s="54"/>
      <c r="AE8" s="53" t="e">
        <f>-LOOKUP(2,1/(TDD!$A$4:$A$12&lt;='Summary Sheet'!$J$3)/(TDD!$B$4:$B$12&gt;='Summary Sheet'!$J$3),TDD!$E$4:$E$12)</f>
        <v>#N/A</v>
      </c>
      <c r="AF8" s="53" t="e">
        <f>-LOOKUP(2,1/(TDD!$A$4:$A$12&lt;='Summary Sheet'!$J$3)/(TDD!$B$4:$B$12&gt;='Summary Sheet'!$J$3),TDD!$G$4:$G$12)</f>
        <v>#N/A</v>
      </c>
      <c r="AG8" s="52" t="e">
        <f>SUM(AD8:AF8)</f>
        <v>#N/A</v>
      </c>
      <c r="AH8" s="54"/>
      <c r="AI8" s="53" t="e">
        <f>-LOOKUP(2,1/(TDD!$A$4:$A$12&lt;='Summary Sheet'!$K$3)/(TDD!$B$4:$B$12&gt;='Summary Sheet'!$K$3),TDD!$E$4:$E$12)</f>
        <v>#N/A</v>
      </c>
      <c r="AJ8" s="53" t="e">
        <f>-LOOKUP(2,1/(TDD!$A$4:$A$12&lt;='Summary Sheet'!$K$3)/(TDD!$B$4:$B$12&gt;='Summary Sheet'!$K$3),TDD!$G$4:$G$12)</f>
        <v>#N/A</v>
      </c>
      <c r="AK8" s="52" t="e">
        <f>SUM(AH8:AJ8)</f>
        <v>#N/A</v>
      </c>
      <c r="AL8" s="54"/>
      <c r="AM8" s="53" t="e">
        <f>-LOOKUP(2,1/(TDD!$A$4:$A$12&lt;='Summary Sheet'!$L$3)/(TDD!$B$4:$B$12&gt;='Summary Sheet'!$L$3),TDD!$E$4:$E$12)</f>
        <v>#N/A</v>
      </c>
      <c r="AN8" s="53" t="e">
        <f>-LOOKUP(2,1/(TDD!$A$4:$A$12&lt;='Summary Sheet'!$L$3)/(TDD!$B$4:$B$12&gt;='Summary Sheet'!$L$3),TDD!$G$4:$G$12)</f>
        <v>#N/A</v>
      </c>
      <c r="AO8" s="52" t="e">
        <f>SUM(AL8:AN8)</f>
        <v>#N/A</v>
      </c>
    </row>
    <row r="9" spans="1:41" s="22" customFormat="1" x14ac:dyDescent="0.25">
      <c r="A9" s="22" t="s">
        <v>166</v>
      </c>
      <c r="B9" s="75" t="e">
        <f>SUM(B7:B8)</f>
        <v>#N/A</v>
      </c>
      <c r="C9" s="76" t="e">
        <f>SUM(C7:C8)</f>
        <v>#N/A</v>
      </c>
      <c r="D9" s="76" t="e">
        <f>SUM(D7:D8)</f>
        <v>#N/A</v>
      </c>
      <c r="E9" s="77" t="e">
        <f>B9+MAX(C9,0)+MAX(D9,0)</f>
        <v>#N/A</v>
      </c>
      <c r="F9" s="64" t="e">
        <f>SUM(F7:F8)</f>
        <v>#N/A</v>
      </c>
      <c r="G9" s="65" t="e">
        <f>SUM(G7:G8)</f>
        <v>#N/A</v>
      </c>
      <c r="H9" s="65" t="e">
        <f>SUM(H7:H8)</f>
        <v>#N/A</v>
      </c>
      <c r="I9" s="271" t="e">
        <f>F9+MAX(G9,0)+MAX(H9,0)</f>
        <v>#N/A</v>
      </c>
      <c r="J9" s="96" t="e">
        <f>SUM(J7:J8)</f>
        <v>#N/A</v>
      </c>
      <c r="K9" s="106" t="e">
        <f>SUM(K7:K8)</f>
        <v>#N/A</v>
      </c>
      <c r="L9" s="106" t="e">
        <f>SUM(L7:L8)</f>
        <v>#N/A</v>
      </c>
      <c r="M9" s="271" t="e">
        <f>J9+MAX(K9,0)+MAX(L9,0)</f>
        <v>#N/A</v>
      </c>
      <c r="N9" s="162" t="e">
        <f>SUM(N7:N8)</f>
        <v>#N/A</v>
      </c>
      <c r="O9" s="162" t="e">
        <f>SUM(O7:O8)</f>
        <v>#N/A</v>
      </c>
      <c r="P9" s="162" t="e">
        <f>SUM(P7:P8)</f>
        <v>#N/A</v>
      </c>
      <c r="Q9" s="271" t="e">
        <f>N9+MAX(O9,0)+MAX(P9,0)</f>
        <v>#N/A</v>
      </c>
      <c r="R9" s="57" t="e">
        <f>SUM(R7:R8)</f>
        <v>#N/A</v>
      </c>
      <c r="S9" s="53" t="e">
        <f>SUM(S7:S8)</f>
        <v>#N/A</v>
      </c>
      <c r="T9" s="53" t="e">
        <f>SUM(T7:T8)</f>
        <v>#N/A</v>
      </c>
      <c r="U9" s="271" t="e">
        <f>R9+MAX(S9,0)+MAX(T9,0)</f>
        <v>#N/A</v>
      </c>
      <c r="V9" s="57" t="e">
        <f>SUM(V7:V8)</f>
        <v>#N/A</v>
      </c>
      <c r="W9" s="53" t="e">
        <f>SUM(W7:W8)</f>
        <v>#N/A</v>
      </c>
      <c r="X9" s="53" t="e">
        <f>SUM(X7:X8)</f>
        <v>#N/A</v>
      </c>
      <c r="Y9" s="271" t="e">
        <f>V9+MAX(W9,0)+MAX(X9,0)</f>
        <v>#N/A</v>
      </c>
      <c r="Z9" s="57" t="e">
        <f>SUM(Z7:Z8)</f>
        <v>#N/A</v>
      </c>
      <c r="AA9" s="53" t="e">
        <f>SUM(AA7:AA8)</f>
        <v>#N/A</v>
      </c>
      <c r="AB9" s="53" t="e">
        <f>SUM(AB7:AB8)</f>
        <v>#N/A</v>
      </c>
      <c r="AC9" s="271" t="e">
        <f>Z9+MAX(AA9,0)+MAX(AB9,0)</f>
        <v>#N/A</v>
      </c>
      <c r="AD9" s="57" t="e">
        <f>SUM(AD7:AD8)</f>
        <v>#N/A</v>
      </c>
      <c r="AE9" s="53" t="e">
        <f>SUM(AE7:AE8)</f>
        <v>#N/A</v>
      </c>
      <c r="AF9" s="53" t="e">
        <f>SUM(AF7:AF8)</f>
        <v>#N/A</v>
      </c>
      <c r="AG9" s="271" t="e">
        <f>AD9+MAX(AE9,0)+MAX(AF9,0)</f>
        <v>#N/A</v>
      </c>
      <c r="AH9" s="57" t="e">
        <f>SUM(AH7:AH8)</f>
        <v>#N/A</v>
      </c>
      <c r="AI9" s="53" t="e">
        <f>SUM(AI7:AI8)</f>
        <v>#N/A</v>
      </c>
      <c r="AJ9" s="53" t="e">
        <f>SUM(AJ7:AJ8)</f>
        <v>#N/A</v>
      </c>
      <c r="AK9" s="271" t="e">
        <f>AH9+MAX(AI9,0)+MAX(AJ9,0)</f>
        <v>#N/A</v>
      </c>
      <c r="AL9" s="57" t="e">
        <f>SUM(AL7:AL8)</f>
        <v>#N/A</v>
      </c>
      <c r="AM9" s="53" t="e">
        <f>SUM(AM7:AM8)</f>
        <v>#N/A</v>
      </c>
      <c r="AN9" s="53" t="e">
        <f>SUM(AN7:AN8)</f>
        <v>#N/A</v>
      </c>
      <c r="AO9" s="271" t="e">
        <f>AL9+MAX(AM9,0)+MAX(AN9,0)</f>
        <v>#N/A</v>
      </c>
    </row>
    <row r="10" spans="1:41" s="22" customFormat="1" x14ac:dyDescent="0.25">
      <c r="A10" s="22" t="s">
        <v>167</v>
      </c>
      <c r="B10" s="269" t="e">
        <f>B7</f>
        <v>#N/A</v>
      </c>
      <c r="C10" s="270" t="e">
        <f>C9+TDD!$E$11</f>
        <v>#N/A</v>
      </c>
      <c r="D10" s="270" t="e">
        <f>D9+TDD!$F$11</f>
        <v>#N/A</v>
      </c>
      <c r="E10" s="271" t="e">
        <f>B10+MAX(C10,0)+MAX(D10,0)</f>
        <v>#N/A</v>
      </c>
      <c r="F10" s="272" t="e">
        <f>F7</f>
        <v>#N/A</v>
      </c>
      <c r="G10" s="273" t="e">
        <f>G9+TDD!$E$11</f>
        <v>#N/A</v>
      </c>
      <c r="H10" s="273" t="e">
        <f>H9+TDD!$F$11</f>
        <v>#N/A</v>
      </c>
      <c r="I10" s="274" t="e">
        <f>F10+MAX(G10,0)+MAX(H10,0)</f>
        <v>#N/A</v>
      </c>
      <c r="J10" s="272" t="e">
        <f>J7</f>
        <v>#N/A</v>
      </c>
      <c r="K10" s="273" t="e">
        <f>K9+TDD!$E$11</f>
        <v>#N/A</v>
      </c>
      <c r="L10" s="273" t="e">
        <f>L9+TDD!$F$11</f>
        <v>#N/A</v>
      </c>
      <c r="M10" s="274" t="e">
        <f>J10+MAX(K10,0)+MAX(L10,0)</f>
        <v>#N/A</v>
      </c>
      <c r="N10" s="272" t="e">
        <f>N7</f>
        <v>#N/A</v>
      </c>
      <c r="O10" s="273" t="e">
        <f>O9+TDD!$E$11</f>
        <v>#N/A</v>
      </c>
      <c r="P10" s="273" t="e">
        <f>P9+TDD!$F$11</f>
        <v>#N/A</v>
      </c>
      <c r="Q10" s="274" t="e">
        <f>N10+MAX(O10,0)+MAX(P10,0)</f>
        <v>#N/A</v>
      </c>
      <c r="R10" s="272" t="e">
        <f>R7</f>
        <v>#N/A</v>
      </c>
      <c r="S10" s="273" t="e">
        <f>S9+TDD!$E$11</f>
        <v>#N/A</v>
      </c>
      <c r="T10" s="273" t="e">
        <f>T9+TDD!$F$11</f>
        <v>#N/A</v>
      </c>
      <c r="U10" s="274" t="e">
        <f>R10+MAX(S10,0)+MAX(T10,0)</f>
        <v>#N/A</v>
      </c>
      <c r="V10" s="272" t="e">
        <f>V7</f>
        <v>#N/A</v>
      </c>
      <c r="W10" s="273" t="e">
        <f>W9+TDD!$E$11</f>
        <v>#N/A</v>
      </c>
      <c r="X10" s="273" t="e">
        <f>X9+TDD!$F$11</f>
        <v>#N/A</v>
      </c>
      <c r="Y10" s="274" t="e">
        <f>V10+MAX(W10,0)+MAX(X10,0)</f>
        <v>#N/A</v>
      </c>
      <c r="Z10" s="272" t="e">
        <f>Z7</f>
        <v>#N/A</v>
      </c>
      <c r="AA10" s="273" t="e">
        <f>AA9+TDD!$E$11</f>
        <v>#N/A</v>
      </c>
      <c r="AB10" s="273" t="e">
        <f>AB9+TDD!$F$11</f>
        <v>#N/A</v>
      </c>
      <c r="AC10" s="274" t="e">
        <f>Z10+MAX(AA10,0)+MAX(AB10,0)</f>
        <v>#N/A</v>
      </c>
      <c r="AD10" s="272" t="e">
        <f>AD7</f>
        <v>#N/A</v>
      </c>
      <c r="AE10" s="273" t="e">
        <f>AE9+TDD!$E$11</f>
        <v>#N/A</v>
      </c>
      <c r="AF10" s="273" t="e">
        <f>AF9+TDD!$F$11</f>
        <v>#N/A</v>
      </c>
      <c r="AG10" s="274" t="e">
        <f>AD10+MAX(AE10,0)+MAX(AF10,0)</f>
        <v>#N/A</v>
      </c>
      <c r="AH10" s="272" t="e">
        <f>AH7</f>
        <v>#N/A</v>
      </c>
      <c r="AI10" s="273" t="e">
        <f>AI9+TDD!$E$11</f>
        <v>#N/A</v>
      </c>
      <c r="AJ10" s="273" t="e">
        <f>AJ9+TDD!$F$11</f>
        <v>#N/A</v>
      </c>
      <c r="AK10" s="274" t="e">
        <f>AH10+MAX(AI10,0)+MAX(AJ10,0)</f>
        <v>#N/A</v>
      </c>
      <c r="AL10" s="272" t="e">
        <f>AL7</f>
        <v>#N/A</v>
      </c>
      <c r="AM10" s="273" t="e">
        <f>AM9+TDD!$E$11</f>
        <v>#N/A</v>
      </c>
      <c r="AN10" s="273" t="e">
        <f>AN9+TDD!$F$11</f>
        <v>#N/A</v>
      </c>
      <c r="AO10" s="274" t="e">
        <f>AL10+MAX(AM10,0)+MAX(AN10,0)</f>
        <v>#N/A</v>
      </c>
    </row>
    <row r="11" spans="1:41" s="22" customFormat="1" x14ac:dyDescent="0.25">
      <c r="B11" s="269"/>
      <c r="C11" s="35"/>
      <c r="D11" s="35"/>
      <c r="E11" s="50"/>
      <c r="F11" s="54"/>
      <c r="G11" s="35"/>
      <c r="H11" s="35"/>
      <c r="I11" s="50"/>
      <c r="J11" s="54"/>
      <c r="K11" s="35"/>
      <c r="L11" s="35"/>
      <c r="M11" s="50"/>
      <c r="N11" s="49"/>
      <c r="O11" s="49"/>
      <c r="P11" s="49"/>
      <c r="Q11" s="50"/>
      <c r="R11" s="54"/>
      <c r="S11" s="35"/>
      <c r="T11" s="35"/>
      <c r="U11" s="50"/>
      <c r="V11" s="54"/>
      <c r="W11" s="35"/>
      <c r="X11" s="35"/>
      <c r="Y11" s="50"/>
      <c r="Z11" s="54"/>
      <c r="AA11" s="35"/>
      <c r="AB11" s="35"/>
      <c r="AC11" s="50"/>
      <c r="AD11" s="54"/>
      <c r="AE11" s="35"/>
      <c r="AF11" s="35"/>
      <c r="AG11" s="50"/>
      <c r="AH11" s="54"/>
      <c r="AI11" s="35"/>
      <c r="AJ11" s="35"/>
      <c r="AK11" s="50"/>
      <c r="AL11" s="54"/>
      <c r="AM11" s="35"/>
      <c r="AN11" s="35"/>
      <c r="AO11" s="50"/>
    </row>
    <row r="12" spans="1:41" s="22" customFormat="1" x14ac:dyDescent="0.25">
      <c r="A12" s="1" t="s">
        <v>56</v>
      </c>
      <c r="B12" s="54"/>
      <c r="C12" s="35"/>
      <c r="D12" s="35"/>
      <c r="E12" s="50"/>
      <c r="F12" s="54"/>
      <c r="G12" s="35"/>
      <c r="H12" s="35"/>
      <c r="I12" s="50"/>
      <c r="J12" s="54"/>
      <c r="K12" s="35"/>
      <c r="L12" s="35"/>
      <c r="M12" s="50"/>
      <c r="N12" s="49"/>
      <c r="O12" s="49"/>
      <c r="P12" s="49"/>
      <c r="Q12" s="50"/>
      <c r="R12" s="54"/>
      <c r="S12" s="35"/>
      <c r="T12" s="35"/>
      <c r="U12" s="50"/>
      <c r="V12" s="54"/>
      <c r="W12" s="35"/>
      <c r="X12" s="35"/>
      <c r="Y12" s="50"/>
      <c r="Z12" s="54"/>
      <c r="AA12" s="35"/>
      <c r="AB12" s="35"/>
      <c r="AC12" s="50"/>
      <c r="AD12" s="54"/>
      <c r="AE12" s="35"/>
      <c r="AF12" s="35"/>
      <c r="AG12" s="50"/>
      <c r="AH12" s="54"/>
      <c r="AI12" s="35"/>
      <c r="AJ12" s="35"/>
      <c r="AK12" s="50"/>
      <c r="AL12" s="54"/>
      <c r="AM12" s="35"/>
      <c r="AN12" s="35"/>
      <c r="AO12" s="50"/>
    </row>
    <row r="13" spans="1:41" s="22" customFormat="1" x14ac:dyDescent="0.25">
      <c r="A13" s="1" t="s">
        <v>57</v>
      </c>
      <c r="B13" s="54" t="s">
        <v>13</v>
      </c>
      <c r="C13" s="35" t="s">
        <v>1</v>
      </c>
      <c r="D13" s="76" t="s">
        <v>4</v>
      </c>
      <c r="E13" s="50" t="s">
        <v>0</v>
      </c>
      <c r="F13" s="54" t="s">
        <v>13</v>
      </c>
      <c r="G13" s="35" t="s">
        <v>1</v>
      </c>
      <c r="H13" s="65" t="s">
        <v>4</v>
      </c>
      <c r="I13" s="50" t="s">
        <v>0</v>
      </c>
      <c r="J13" s="54" t="s">
        <v>13</v>
      </c>
      <c r="K13" s="35" t="s">
        <v>1</v>
      </c>
      <c r="L13" s="106" t="s">
        <v>4</v>
      </c>
      <c r="M13" s="50" t="s">
        <v>0</v>
      </c>
      <c r="N13" s="49" t="s">
        <v>13</v>
      </c>
      <c r="O13" s="49" t="s">
        <v>1</v>
      </c>
      <c r="P13" s="162" t="s">
        <v>4</v>
      </c>
      <c r="Q13" s="50" t="s">
        <v>0</v>
      </c>
      <c r="R13" s="54" t="s">
        <v>13</v>
      </c>
      <c r="S13" s="35" t="s">
        <v>1</v>
      </c>
      <c r="T13" s="60" t="s">
        <v>4</v>
      </c>
      <c r="U13" s="50" t="s">
        <v>0</v>
      </c>
      <c r="V13" s="54" t="s">
        <v>13</v>
      </c>
      <c r="W13" s="35" t="s">
        <v>1</v>
      </c>
      <c r="X13" s="60" t="s">
        <v>4</v>
      </c>
      <c r="Y13" s="50" t="s">
        <v>0</v>
      </c>
      <c r="Z13" s="54" t="s">
        <v>13</v>
      </c>
      <c r="AA13" s="35" t="s">
        <v>1</v>
      </c>
      <c r="AB13" s="60" t="s">
        <v>4</v>
      </c>
      <c r="AC13" s="50" t="s">
        <v>0</v>
      </c>
      <c r="AD13" s="54" t="s">
        <v>13</v>
      </c>
      <c r="AE13" s="35" t="s">
        <v>1</v>
      </c>
      <c r="AF13" s="60" t="s">
        <v>4</v>
      </c>
      <c r="AG13" s="50" t="s">
        <v>0</v>
      </c>
      <c r="AH13" s="54" t="s">
        <v>13</v>
      </c>
      <c r="AI13" s="35" t="s">
        <v>1</v>
      </c>
      <c r="AJ13" s="60" t="s">
        <v>4</v>
      </c>
      <c r="AK13" s="50" t="s">
        <v>0</v>
      </c>
      <c r="AL13" s="54" t="s">
        <v>13</v>
      </c>
      <c r="AM13" s="35" t="s">
        <v>1</v>
      </c>
      <c r="AN13" s="60" t="s">
        <v>4</v>
      </c>
      <c r="AO13" s="50" t="s">
        <v>0</v>
      </c>
    </row>
    <row r="14" spans="1:41" s="22" customFormat="1" x14ac:dyDescent="0.25">
      <c r="A14" s="22" t="s">
        <v>5</v>
      </c>
      <c r="B14" s="71">
        <f>'Defined Values'!$B$18</f>
        <v>1.7918718194686385</v>
      </c>
      <c r="C14" s="72">
        <f>'Defined Values'!$C$18</f>
        <v>3.9205363313376811</v>
      </c>
      <c r="D14" s="72">
        <f>'Defined Values'!$D$18</f>
        <v>3.2117404891936796</v>
      </c>
      <c r="E14" s="73">
        <f>SUM(B14:D14)</f>
        <v>8.9241486399999985</v>
      </c>
      <c r="F14" s="71">
        <f>'Defined Values'!$B$18</f>
        <v>1.7918718194686385</v>
      </c>
      <c r="G14" s="72">
        <f>'Defined Values'!$C$18</f>
        <v>3.9205363313376811</v>
      </c>
      <c r="H14" s="72">
        <f>'Defined Values'!$D$18</f>
        <v>3.2117404891936796</v>
      </c>
      <c r="I14" s="73">
        <f>SUM(F14:H14)</f>
        <v>8.9241486399999985</v>
      </c>
      <c r="J14" s="71">
        <f>'Defined Values'!$B$18</f>
        <v>1.7918718194686385</v>
      </c>
      <c r="K14" s="72">
        <f>'Defined Values'!$C$18</f>
        <v>3.9205363313376811</v>
      </c>
      <c r="L14" s="72">
        <f>'Defined Values'!$D$18</f>
        <v>3.2117404891936796</v>
      </c>
      <c r="M14" s="73">
        <f>SUM(J14:L14)</f>
        <v>8.9241486399999985</v>
      </c>
      <c r="N14" s="71">
        <f>'Defined Values'!$B$18</f>
        <v>1.7918718194686385</v>
      </c>
      <c r="O14" s="72">
        <f>'Defined Values'!$C$18</f>
        <v>3.9205363313376811</v>
      </c>
      <c r="P14" s="72">
        <f>'Defined Values'!$D$18</f>
        <v>3.2117404891936796</v>
      </c>
      <c r="Q14" s="73">
        <f>SUM(N14:P14)</f>
        <v>8.9241486399999985</v>
      </c>
      <c r="R14" s="71">
        <f>'Defined Values'!$B$18</f>
        <v>1.7918718194686385</v>
      </c>
      <c r="S14" s="72">
        <f>'Defined Values'!$C$18</f>
        <v>3.9205363313376811</v>
      </c>
      <c r="T14" s="72">
        <f>'Defined Values'!$D$18</f>
        <v>3.2117404891936796</v>
      </c>
      <c r="U14" s="73">
        <f>SUM(R14:T14)</f>
        <v>8.9241486399999985</v>
      </c>
      <c r="V14" s="71">
        <f>'Defined Values'!$B$18</f>
        <v>1.7918718194686385</v>
      </c>
      <c r="W14" s="72">
        <f>'Defined Values'!$C$18</f>
        <v>3.9205363313376811</v>
      </c>
      <c r="X14" s="72">
        <f>'Defined Values'!$D$18</f>
        <v>3.2117404891936796</v>
      </c>
      <c r="Y14" s="73">
        <f>SUM(V14:X14)</f>
        <v>8.9241486399999985</v>
      </c>
      <c r="Z14" s="71">
        <f>'Defined Values'!$B$18</f>
        <v>1.7918718194686385</v>
      </c>
      <c r="AA14" s="72">
        <f>'Defined Values'!$C$18</f>
        <v>3.9205363313376811</v>
      </c>
      <c r="AB14" s="72">
        <f>'Defined Values'!$D$18</f>
        <v>3.2117404891936796</v>
      </c>
      <c r="AC14" s="73">
        <f>SUM(Z14:AB14)</f>
        <v>8.9241486399999985</v>
      </c>
      <c r="AD14" s="71">
        <f>'Defined Values'!$B$18</f>
        <v>1.7918718194686385</v>
      </c>
      <c r="AE14" s="72">
        <f>'Defined Values'!$C$18</f>
        <v>3.9205363313376811</v>
      </c>
      <c r="AF14" s="72">
        <f>'Defined Values'!$D$18</f>
        <v>3.2117404891936796</v>
      </c>
      <c r="AG14" s="73">
        <f>SUM(AD14:AF14)</f>
        <v>8.9241486399999985</v>
      </c>
      <c r="AH14" s="71">
        <f>'Defined Values'!$B$18</f>
        <v>1.7918718194686385</v>
      </c>
      <c r="AI14" s="72">
        <f>'Defined Values'!$C$18</f>
        <v>3.9205363313376811</v>
      </c>
      <c r="AJ14" s="72">
        <f>'Defined Values'!$D$18</f>
        <v>3.2117404891936796</v>
      </c>
      <c r="AK14" s="73">
        <f>SUM(AH14:AJ14)</f>
        <v>8.9241486399999985</v>
      </c>
      <c r="AL14" s="71">
        <f>'Defined Values'!$B$18</f>
        <v>1.7918718194686385</v>
      </c>
      <c r="AM14" s="72">
        <f>'Defined Values'!$C$18</f>
        <v>3.9205363313376811</v>
      </c>
      <c r="AN14" s="72">
        <f>'Defined Values'!$D$18</f>
        <v>3.2117404891936796</v>
      </c>
      <c r="AO14" s="73">
        <f>SUM(AL14:AN14)</f>
        <v>8.9241486399999985</v>
      </c>
    </row>
    <row r="15" spans="1:41" s="22" customFormat="1" x14ac:dyDescent="0.25">
      <c r="A15" s="22" t="s">
        <v>66</v>
      </c>
      <c r="B15" s="75" t="e">
        <f>B14-B9</f>
        <v>#N/A</v>
      </c>
      <c r="C15" s="72" t="e">
        <f>C14-MAX(C9,0)</f>
        <v>#N/A</v>
      </c>
      <c r="D15" s="72" t="e">
        <f>D14-MAX(D9,0)</f>
        <v>#N/A</v>
      </c>
      <c r="E15" s="77" t="e">
        <f>SUM(B15:D15)</f>
        <v>#N/A</v>
      </c>
      <c r="F15" s="269" t="e">
        <f>F14-F9</f>
        <v>#N/A</v>
      </c>
      <c r="G15" s="72" t="e">
        <f>G14-MAX(G9,0)</f>
        <v>#N/A</v>
      </c>
      <c r="H15" s="72" t="e">
        <f>H14-MAX(H9,0)</f>
        <v>#N/A</v>
      </c>
      <c r="I15" s="66" t="e">
        <f>SUM(F15:H15)</f>
        <v>#N/A</v>
      </c>
      <c r="J15" s="269" t="e">
        <f>J14-J9</f>
        <v>#N/A</v>
      </c>
      <c r="K15" s="72" t="e">
        <f>K14-MAX(K9,0)</f>
        <v>#N/A</v>
      </c>
      <c r="L15" s="72" t="e">
        <f>L14-MAX(L9,0)</f>
        <v>#N/A</v>
      </c>
      <c r="M15" s="107" t="e">
        <f>SUM(J15:L15)</f>
        <v>#N/A</v>
      </c>
      <c r="N15" s="269" t="e">
        <f>N14-N9</f>
        <v>#N/A</v>
      </c>
      <c r="O15" s="72" t="e">
        <f>O14-MAX(O9,0)</f>
        <v>#N/A</v>
      </c>
      <c r="P15" s="72" t="e">
        <f>P14-MAX(P9,0)</f>
        <v>#N/A</v>
      </c>
      <c r="Q15" s="61" t="e">
        <f>SUM(N15:P15)</f>
        <v>#N/A</v>
      </c>
      <c r="R15" s="269" t="e">
        <f>R14-R9</f>
        <v>#N/A</v>
      </c>
      <c r="S15" s="72" t="e">
        <f>S14-MAX(S9,0)</f>
        <v>#N/A</v>
      </c>
      <c r="T15" s="72" t="e">
        <f>T14-MAX(T9,0)</f>
        <v>#N/A</v>
      </c>
      <c r="U15" s="73" t="e">
        <f>SUM(R15:T15)</f>
        <v>#N/A</v>
      </c>
      <c r="V15" s="269" t="e">
        <f>V14-V9</f>
        <v>#N/A</v>
      </c>
      <c r="W15" s="72" t="e">
        <f>W14-MAX(W9,0)</f>
        <v>#N/A</v>
      </c>
      <c r="X15" s="72" t="e">
        <f>X14-MAX(X9,0)</f>
        <v>#N/A</v>
      </c>
      <c r="Y15" s="61" t="e">
        <f>SUM(V15:X15)</f>
        <v>#N/A</v>
      </c>
      <c r="Z15" s="269" t="e">
        <f>Z14-Z9</f>
        <v>#N/A</v>
      </c>
      <c r="AA15" s="72" t="e">
        <f>AA14-MAX(AA9,0)</f>
        <v>#N/A</v>
      </c>
      <c r="AB15" s="72" t="e">
        <f>AB14-MAX(AB9,0)</f>
        <v>#N/A</v>
      </c>
      <c r="AC15" s="61" t="e">
        <f>SUM(Z15:AB15)</f>
        <v>#N/A</v>
      </c>
      <c r="AD15" s="269" t="e">
        <f>AD14-AD9</f>
        <v>#N/A</v>
      </c>
      <c r="AE15" s="72" t="e">
        <f>AE14-MAX(AE9,0)</f>
        <v>#N/A</v>
      </c>
      <c r="AF15" s="72" t="e">
        <f>AF14-MAX(AF9,0)</f>
        <v>#N/A</v>
      </c>
      <c r="AG15" s="61" t="e">
        <f>SUM(AD15:AF15)</f>
        <v>#N/A</v>
      </c>
      <c r="AH15" s="269" t="e">
        <f>AH14-AH9</f>
        <v>#N/A</v>
      </c>
      <c r="AI15" s="72" t="e">
        <f>AI14-MAX(AI9,0)</f>
        <v>#N/A</v>
      </c>
      <c r="AJ15" s="72" t="e">
        <f>AJ14-MAX(AJ9,0)</f>
        <v>#N/A</v>
      </c>
      <c r="AK15" s="61" t="e">
        <f>SUM(AH15:AJ15)</f>
        <v>#N/A</v>
      </c>
      <c r="AL15" s="269" t="e">
        <f>AL14-AL9</f>
        <v>#N/A</v>
      </c>
      <c r="AM15" s="72" t="e">
        <f>AM14-MAX(AM9,0)</f>
        <v>#N/A</v>
      </c>
      <c r="AN15" s="72" t="e">
        <f>AN14-MAX(AN9,0)</f>
        <v>#N/A</v>
      </c>
      <c r="AO15" s="61" t="e">
        <f>SUM(AL15:AN15)</f>
        <v>#N/A</v>
      </c>
    </row>
    <row r="16" spans="1:41" s="22" customFormat="1" ht="45" x14ac:dyDescent="0.25">
      <c r="A16" s="47" t="s">
        <v>92</v>
      </c>
      <c r="B16" s="113" t="e">
        <f>IF(B15&lt;=0, "No", IF('Summary Sheet'!$M$4&lt;='Defined Values'!$B$30, "No", IF('Summary Sheet'!C7="Yes","Yes","No")))</f>
        <v>#N/A</v>
      </c>
      <c r="C16" s="114"/>
      <c r="D16" s="114"/>
      <c r="E16" s="115"/>
      <c r="F16" s="113" t="e">
        <f>IF(F15&lt;=0, "No", IF('Summary Sheet'!$M$4&lt;='Defined Values'!$B$30, "No", IF('Summary Sheet'!D7="Yes","Yes","No")))</f>
        <v>#N/A</v>
      </c>
      <c r="G16" s="114"/>
      <c r="H16" s="114"/>
      <c r="I16" s="115"/>
      <c r="J16" s="113" t="e">
        <f>IF(J15&lt;=0, "No", IF('Summary Sheet'!$M$4&lt;='Defined Values'!$B$30, "No", IF('Summary Sheet'!E7="Yes","Yes","No")))</f>
        <v>#N/A</v>
      </c>
      <c r="K16" s="114"/>
      <c r="L16" s="114"/>
      <c r="M16" s="115"/>
      <c r="N16" s="163" t="e">
        <f>IF(N15&lt;=0, "No", IF('Summary Sheet'!$M$4&lt;='Defined Values'!$B$30, "No", IF('Summary Sheet'!F7="Yes","Yes","No")))</f>
        <v>#N/A</v>
      </c>
      <c r="O16" s="164"/>
      <c r="P16" s="164"/>
      <c r="Q16" s="115"/>
      <c r="R16" s="113" t="e">
        <f>IF(R15&lt;=0, "No", IF('Summary Sheet'!$M$4&lt;='Defined Values'!$B$30, "No", IF('Summary Sheet'!G7="Yes","Yes","No")))</f>
        <v>#N/A</v>
      </c>
      <c r="S16" s="114"/>
      <c r="T16" s="114"/>
      <c r="U16" s="115"/>
      <c r="V16" s="113" t="e">
        <f>IF(V15&lt;=0, "No", IF('Summary Sheet'!$M$4&lt;='Defined Values'!$B$30, "No", IF('Summary Sheet'!H7="Yes","Yes","No")))</f>
        <v>#N/A</v>
      </c>
      <c r="W16" s="114"/>
      <c r="X16" s="114"/>
      <c r="Y16" s="115"/>
      <c r="Z16" s="113" t="e">
        <f>IF(Z15&lt;=0, "No", IF('Summary Sheet'!$M$4&lt;='Defined Values'!$B$30, "No", IF('Summary Sheet'!I7="Yes","Yes","No")))</f>
        <v>#N/A</v>
      </c>
      <c r="AA16" s="114"/>
      <c r="AB16" s="114"/>
      <c r="AC16" s="115"/>
      <c r="AD16" s="113" t="e">
        <f>IF(AD15&lt;=0, "No", IF('Summary Sheet'!$M$4&lt;='Defined Values'!$B$30, "No", IF('Summary Sheet'!J7="Yes","Yes","No")))</f>
        <v>#N/A</v>
      </c>
      <c r="AE16" s="114"/>
      <c r="AF16" s="114"/>
      <c r="AG16" s="115"/>
      <c r="AH16" s="113" t="e">
        <f>IF(AH15&lt;=0, "No", IF('Summary Sheet'!$M$4&lt;='Defined Values'!$B$30, "No", IF('Summary Sheet'!K7="Yes","Yes","No")))</f>
        <v>#N/A</v>
      </c>
      <c r="AI16" s="114"/>
      <c r="AJ16" s="114"/>
      <c r="AK16" s="115"/>
      <c r="AL16" s="113" t="e">
        <f>IF(AL15&lt;=0, "No", IF('Summary Sheet'!$M$4&lt;='Defined Values'!$B$30, "No", IF('Summary Sheet'!L7="Yes","Yes","No")))</f>
        <v>#N/A</v>
      </c>
      <c r="AM16" s="114"/>
      <c r="AN16" s="114"/>
      <c r="AO16" s="115"/>
    </row>
    <row r="17" spans="1:41" s="69" customFormat="1" x14ac:dyDescent="0.25">
      <c r="A17" s="22" t="s">
        <v>69</v>
      </c>
      <c r="B17" s="283" t="e">
        <f>SUM(B15:D15)-IF('Summary Sheet'!$M$4&gt;'Defined Values'!$B$30,IF(B16="Yes",B15,0),0)</f>
        <v>#N/A</v>
      </c>
      <c r="C17" s="284"/>
      <c r="D17" s="284"/>
      <c r="E17" s="285"/>
      <c r="F17" s="283" t="e">
        <f>SUM(F15:H15)-IF('Summary Sheet'!$M$4&gt;'Defined Values'!$B$30,IF(F16="Yes",F15,0),0)</f>
        <v>#N/A</v>
      </c>
      <c r="G17" s="284"/>
      <c r="H17" s="284"/>
      <c r="I17" s="285"/>
      <c r="J17" s="283" t="e">
        <f>SUM(J15:L15)-IF('Summary Sheet'!$M$4&gt;'Defined Values'!$B$30,IF(J16="Yes",J15,0),0)</f>
        <v>#N/A</v>
      </c>
      <c r="K17" s="284"/>
      <c r="L17" s="284"/>
      <c r="M17" s="285"/>
      <c r="N17" s="284" t="e">
        <f>SUM(N15:P15)-IF('Summary Sheet'!$M$4&gt;'Defined Values'!$B$30,IF(N16="Yes",N15,0),0)</f>
        <v>#N/A</v>
      </c>
      <c r="O17" s="284"/>
      <c r="P17" s="284"/>
      <c r="Q17" s="285"/>
      <c r="R17" s="283" t="e">
        <f>SUM(R15:T15)-IF('Summary Sheet'!$M$4&gt;'Defined Values'!$B$30,IF(R16="Yes",R15,0),0)</f>
        <v>#N/A</v>
      </c>
      <c r="S17" s="284"/>
      <c r="T17" s="284"/>
      <c r="U17" s="285"/>
      <c r="V17" s="283" t="e">
        <f>SUM(V15:X15)-IF('Summary Sheet'!$M$4&gt;'Defined Values'!$B$30,IF(V16="Yes",V15,0),0)</f>
        <v>#N/A</v>
      </c>
      <c r="W17" s="284"/>
      <c r="X17" s="284"/>
      <c r="Y17" s="285"/>
      <c r="Z17" s="283" t="e">
        <f>SUM(Z15:AB15)-IF('Summary Sheet'!$M$4&gt;'Defined Values'!$B$30,IF(Z16="Yes",Z15,0),0)</f>
        <v>#N/A</v>
      </c>
      <c r="AA17" s="284"/>
      <c r="AB17" s="284"/>
      <c r="AC17" s="285"/>
      <c r="AD17" s="283" t="e">
        <f>SUM(AD15:AF15)-IF('Summary Sheet'!$M$4&gt;'Defined Values'!$B$30,IF(AD16="Yes",AD15,0),0)</f>
        <v>#N/A</v>
      </c>
      <c r="AE17" s="284"/>
      <c r="AF17" s="284"/>
      <c r="AG17" s="285"/>
      <c r="AH17" s="283" t="e">
        <f>SUM(AH15:AJ15)-IF('Summary Sheet'!$M$4&gt;'Defined Values'!$B$30,IF(AH16="Yes",AH15,0),0)</f>
        <v>#N/A</v>
      </c>
      <c r="AI17" s="284"/>
      <c r="AJ17" s="284"/>
      <c r="AK17" s="285"/>
      <c r="AL17" s="283" t="e">
        <f>SUM(AL15:AN15)-IF('Summary Sheet'!$M$4&gt;'Defined Values'!$B$30,IF(AL16="Yes",AL15,0),0)</f>
        <v>#N/A</v>
      </c>
      <c r="AM17" s="284"/>
      <c r="AN17" s="284"/>
      <c r="AO17" s="285"/>
    </row>
    <row r="18" spans="1:41" s="69" customFormat="1" x14ac:dyDescent="0.25">
      <c r="A18" s="48" t="s">
        <v>70</v>
      </c>
      <c r="B18" s="283" t="e">
        <f>B17*'Summary Sheet'!C4</f>
        <v>#N/A</v>
      </c>
      <c r="C18" s="284"/>
      <c r="D18" s="284"/>
      <c r="E18" s="285"/>
      <c r="F18" s="283" t="e">
        <f>F17*'Summary Sheet'!D4</f>
        <v>#N/A</v>
      </c>
      <c r="G18" s="284"/>
      <c r="H18" s="284"/>
      <c r="I18" s="285"/>
      <c r="J18" s="283" t="e">
        <f>J17*'Summary Sheet'!E4</f>
        <v>#N/A</v>
      </c>
      <c r="K18" s="284"/>
      <c r="L18" s="284"/>
      <c r="M18" s="285"/>
      <c r="N18" s="284" t="e">
        <f>N17*'Summary Sheet'!F4</f>
        <v>#N/A</v>
      </c>
      <c r="O18" s="284"/>
      <c r="P18" s="284"/>
      <c r="Q18" s="285"/>
      <c r="R18" s="283" t="e">
        <f>R17*'Summary Sheet'!G4</f>
        <v>#N/A</v>
      </c>
      <c r="S18" s="284"/>
      <c r="T18" s="284"/>
      <c r="U18" s="285"/>
      <c r="V18" s="283" t="e">
        <f>V17*'Summary Sheet'!H4</f>
        <v>#N/A</v>
      </c>
      <c r="W18" s="284"/>
      <c r="X18" s="284"/>
      <c r="Y18" s="285"/>
      <c r="Z18" s="283" t="e">
        <f>Z17*'Summary Sheet'!I4</f>
        <v>#N/A</v>
      </c>
      <c r="AA18" s="284"/>
      <c r="AB18" s="284"/>
      <c r="AC18" s="285"/>
      <c r="AD18" s="283" t="e">
        <f>AD17*'Summary Sheet'!J4</f>
        <v>#N/A</v>
      </c>
      <c r="AE18" s="284"/>
      <c r="AF18" s="284"/>
      <c r="AG18" s="285"/>
      <c r="AH18" s="283" t="e">
        <f>AH17*'Summary Sheet'!K4</f>
        <v>#N/A</v>
      </c>
      <c r="AI18" s="284"/>
      <c r="AJ18" s="284"/>
      <c r="AK18" s="285"/>
      <c r="AL18" s="283" t="e">
        <f>AL17*'Summary Sheet'!L4</f>
        <v>#N/A</v>
      </c>
      <c r="AM18" s="284"/>
      <c r="AN18" s="284"/>
      <c r="AO18" s="285"/>
    </row>
    <row r="19" spans="1:41" s="22" customFormat="1" hidden="1" x14ac:dyDescent="0.25">
      <c r="B19" s="54"/>
      <c r="C19" s="16"/>
      <c r="D19" s="16"/>
      <c r="E19" s="50"/>
      <c r="F19" s="54"/>
      <c r="G19" s="35"/>
      <c r="H19" s="35"/>
      <c r="I19" s="50"/>
      <c r="J19" s="54"/>
      <c r="K19" s="35"/>
      <c r="L19" s="35"/>
      <c r="M19" s="50"/>
      <c r="N19" s="49"/>
      <c r="O19" s="49"/>
      <c r="P19" s="49"/>
      <c r="Q19" s="50"/>
      <c r="R19" s="54"/>
      <c r="S19" s="35"/>
      <c r="T19" s="35"/>
      <c r="U19" s="50"/>
      <c r="V19" s="54"/>
      <c r="W19" s="35"/>
      <c r="X19" s="35"/>
      <c r="Y19" s="50"/>
      <c r="Z19" s="54"/>
      <c r="AA19" s="35"/>
      <c r="AB19" s="35"/>
      <c r="AC19" s="50"/>
      <c r="AD19" s="54"/>
      <c r="AE19" s="35"/>
      <c r="AF19" s="35"/>
      <c r="AG19" s="50"/>
      <c r="AH19" s="54"/>
      <c r="AI19" s="35"/>
      <c r="AJ19" s="35"/>
      <c r="AK19" s="50"/>
      <c r="AL19" s="54"/>
      <c r="AM19" s="35"/>
      <c r="AN19" s="35"/>
      <c r="AO19" s="50"/>
    </row>
    <row r="20" spans="1:41" s="22" customFormat="1" hidden="1" x14ac:dyDescent="0.25">
      <c r="A20" s="22" t="s">
        <v>82</v>
      </c>
      <c r="B20" s="165" t="e">
        <f>IF(B16="Yes",'Allocation of CDIs'!B14*(B9+'Defined Values'!$B$26)*'Defined Values'!$B$25,'Allocation of CDIs'!$B$14*'Defined Values'!$B$4)</f>
        <v>#N/A</v>
      </c>
      <c r="C20" s="166"/>
      <c r="D20" s="167"/>
      <c r="E20" s="80"/>
      <c r="F20" s="165" t="e">
        <f>IF(F16="Yes",'Allocation of CDIs'!C14*(F9+'Defined Values'!$B$26)*'Defined Values'!$B$25,'Allocation of CDIs'!$C$14*'Defined Values'!$B$4)</f>
        <v>#N/A</v>
      </c>
      <c r="G20" s="166"/>
      <c r="H20" s="167"/>
      <c r="I20" s="78"/>
      <c r="J20" s="165" t="e">
        <f>IF(J16="Yes",'Allocation of CDIs'!D14*(J9+'Defined Values'!$B$26)*'Defined Values'!$B$25,'Allocation of CDIs'!$D$14*'Defined Values'!$B$4)</f>
        <v>#N/A</v>
      </c>
      <c r="K20" s="166"/>
      <c r="L20" s="167"/>
      <c r="M20" s="78"/>
      <c r="N20" s="165" t="e">
        <f>IF(N16="Yes",'Allocation of CDIs'!E14*(N9+'Defined Values'!$B$26)*'Defined Values'!$B$25,'Allocation of CDIs'!$E$14*'Defined Values'!$B$4)</f>
        <v>#N/A</v>
      </c>
      <c r="O20" s="168"/>
      <c r="P20" s="169"/>
      <c r="Q20" s="78"/>
      <c r="R20" s="165" t="e">
        <f>IF(R16="Yes",'Allocation of CDIs'!F14*(R9+'Defined Values'!$B$26)*'Defined Values'!$B$25,'Allocation of CDIs'!$F$14*'Defined Values'!$B$4)</f>
        <v>#N/A</v>
      </c>
      <c r="S20" s="166"/>
      <c r="T20" s="167"/>
      <c r="U20" s="78"/>
      <c r="V20" s="165" t="e">
        <f>IF(V16="Yes",'Allocation of CDIs'!G14*(V9+'Defined Values'!$B$26)*'Defined Values'!$B$25,'Allocation of CDIs'!$G$14*'Defined Values'!$B$4)</f>
        <v>#N/A</v>
      </c>
      <c r="W20" s="166"/>
      <c r="X20" s="167"/>
      <c r="Y20" s="78"/>
      <c r="Z20" s="165" t="e">
        <f>IF(Z16="Yes",'Allocation of CDIs'!H14*(Z9+'Defined Values'!$B$26)*'Defined Values'!$B$25,'Allocation of CDIs'!$H$14*'Defined Values'!$B$4)</f>
        <v>#N/A</v>
      </c>
      <c r="AA20" s="166"/>
      <c r="AB20" s="167"/>
      <c r="AC20" s="78"/>
      <c r="AD20" s="165" t="e">
        <f>IF(AD16="Yes",'Allocation of CDIs'!I14*(AD9+'Defined Values'!$B$26)*'Defined Values'!$B$25,'Allocation of CDIs'!$I$14*'Defined Values'!$B$4)</f>
        <v>#N/A</v>
      </c>
      <c r="AE20" s="166"/>
      <c r="AF20" s="167"/>
      <c r="AG20" s="78"/>
      <c r="AH20" s="165" t="e">
        <f>IF(AH16="Yes",'Allocation of CDIs'!J14*(AH9+'Defined Values'!$B$26)*'Defined Values'!$B$25,'Allocation of CDIs'!$J$14*'Defined Values'!$B$4)</f>
        <v>#N/A</v>
      </c>
      <c r="AI20" s="166"/>
      <c r="AJ20" s="167"/>
      <c r="AK20" s="78"/>
      <c r="AL20" s="165" t="e">
        <f>IF(AL16="Yes",'Allocation of CDIs'!K14*(AL9+'Defined Values'!$B$26)*'Defined Values'!$B$25,'Allocation of CDIs'!$K$14*'Defined Values'!$B$4)</f>
        <v>#N/A</v>
      </c>
      <c r="AM20" s="166"/>
      <c r="AN20" s="167"/>
      <c r="AO20" s="78"/>
    </row>
    <row r="21" spans="1:41" s="22" customFormat="1" hidden="1" x14ac:dyDescent="0.25">
      <c r="A21" s="67" t="s">
        <v>109</v>
      </c>
      <c r="B21" s="165" t="e">
        <f>'Allocation of CDIs'!B15*'Defined Values'!$B$4</f>
        <v>#VALUE!</v>
      </c>
      <c r="C21" s="166"/>
      <c r="D21" s="167"/>
      <c r="E21" s="80"/>
      <c r="F21" s="165" t="e">
        <f>'Allocation of CDIs'!C15*'Defined Values'!$B$4</f>
        <v>#VALUE!</v>
      </c>
      <c r="G21" s="166"/>
      <c r="H21" s="167"/>
      <c r="I21" s="78"/>
      <c r="J21" s="165" t="e">
        <f>'Allocation of CDIs'!D15*'Defined Values'!$B$4</f>
        <v>#VALUE!</v>
      </c>
      <c r="K21" s="166"/>
      <c r="L21" s="167"/>
      <c r="M21" s="78"/>
      <c r="N21" s="165" t="e">
        <f>'Allocation of CDIs'!E15*'Defined Values'!$B$4</f>
        <v>#VALUE!</v>
      </c>
      <c r="O21" s="168"/>
      <c r="P21" s="169"/>
      <c r="Q21" s="78"/>
      <c r="R21" s="165" t="e">
        <f>'Allocation of CDIs'!F15*'Defined Values'!$B$4</f>
        <v>#VALUE!</v>
      </c>
      <c r="S21" s="166"/>
      <c r="T21" s="167"/>
      <c r="U21" s="78"/>
      <c r="V21" s="165" t="e">
        <f>'Allocation of CDIs'!G15*'Defined Values'!$B$4</f>
        <v>#VALUE!</v>
      </c>
      <c r="W21" s="166"/>
      <c r="X21" s="167"/>
      <c r="Y21" s="78"/>
      <c r="Z21" s="165" t="e">
        <f>'Allocation of CDIs'!H15*'Defined Values'!$B$4</f>
        <v>#VALUE!</v>
      </c>
      <c r="AA21" s="166"/>
      <c r="AB21" s="167"/>
      <c r="AC21" s="78"/>
      <c r="AD21" s="165" t="e">
        <f>'Allocation of CDIs'!I15*'Defined Values'!$B$4</f>
        <v>#VALUE!</v>
      </c>
      <c r="AE21" s="166"/>
      <c r="AF21" s="167"/>
      <c r="AG21" s="78"/>
      <c r="AH21" s="165" t="e">
        <f>'Allocation of CDIs'!J15*'Defined Values'!$B$4</f>
        <v>#VALUE!</v>
      </c>
      <c r="AI21" s="166"/>
      <c r="AJ21" s="167"/>
      <c r="AK21" s="78"/>
      <c r="AL21" s="165" t="e">
        <f>'Allocation of CDIs'!K15*'Defined Values'!$B$4</f>
        <v>#VALUE!</v>
      </c>
      <c r="AM21" s="166"/>
      <c r="AN21" s="167"/>
      <c r="AO21" s="78"/>
    </row>
    <row r="22" spans="1:41" s="22" customFormat="1" hidden="1" x14ac:dyDescent="0.25">
      <c r="A22" s="67" t="s">
        <v>110</v>
      </c>
      <c r="B22" s="165" t="e">
        <f>MAX(B20-B21,0)</f>
        <v>#N/A</v>
      </c>
      <c r="C22" s="166"/>
      <c r="D22" s="167"/>
      <c r="E22" s="80"/>
      <c r="F22" s="165" t="e">
        <f>MAX(F20-F21,0)</f>
        <v>#N/A</v>
      </c>
      <c r="G22" s="166"/>
      <c r="H22" s="167"/>
      <c r="I22" s="78"/>
      <c r="J22" s="165" t="e">
        <f>MAX(J20-J21,0)</f>
        <v>#N/A</v>
      </c>
      <c r="K22" s="166"/>
      <c r="L22" s="167"/>
      <c r="M22" s="78"/>
      <c r="N22" s="165" t="e">
        <f>MAX(N20-N21,0)</f>
        <v>#N/A</v>
      </c>
      <c r="O22" s="168"/>
      <c r="P22" s="169"/>
      <c r="Q22" s="78"/>
      <c r="R22" s="165" t="e">
        <f>MAX(R20-R21,0)</f>
        <v>#N/A</v>
      </c>
      <c r="S22" s="166"/>
      <c r="T22" s="167"/>
      <c r="U22" s="78"/>
      <c r="V22" s="165" t="e">
        <f>MAX(V20-V21,0)</f>
        <v>#N/A</v>
      </c>
      <c r="W22" s="166"/>
      <c r="X22" s="167"/>
      <c r="Y22" s="78"/>
      <c r="Z22" s="165" t="e">
        <f>MAX(Z20-Z21,0)</f>
        <v>#N/A</v>
      </c>
      <c r="AA22" s="166"/>
      <c r="AB22" s="167"/>
      <c r="AC22" s="78"/>
      <c r="AD22" s="165" t="e">
        <f>MAX(AD20-AD21,0)</f>
        <v>#N/A</v>
      </c>
      <c r="AE22" s="166"/>
      <c r="AF22" s="167"/>
      <c r="AG22" s="78"/>
      <c r="AH22" s="165" t="e">
        <f>MAX(AH20-AH21,0)</f>
        <v>#N/A</v>
      </c>
      <c r="AI22" s="166"/>
      <c r="AJ22" s="167"/>
      <c r="AK22" s="78"/>
      <c r="AL22" s="165" t="e">
        <f>MAX(AL20-AL21,0)</f>
        <v>#N/A</v>
      </c>
      <c r="AM22" s="166"/>
      <c r="AN22" s="167"/>
      <c r="AO22" s="78"/>
    </row>
    <row r="23" spans="1:41" s="22" customFormat="1" hidden="1" x14ac:dyDescent="0.25">
      <c r="A23" s="1"/>
      <c r="B23" s="81"/>
      <c r="C23" s="82"/>
      <c r="D23" s="82"/>
      <c r="E23" s="80"/>
      <c r="F23" s="81"/>
      <c r="G23" s="82"/>
      <c r="H23" s="82"/>
      <c r="I23" s="50"/>
      <c r="J23" s="81"/>
      <c r="K23" s="82"/>
      <c r="L23" s="82"/>
      <c r="M23" s="50"/>
      <c r="N23" s="108"/>
      <c r="O23" s="108"/>
      <c r="P23" s="108"/>
      <c r="Q23" s="50"/>
      <c r="R23" s="81"/>
      <c r="S23" s="82"/>
      <c r="T23" s="82"/>
      <c r="U23" s="50"/>
      <c r="V23" s="81"/>
      <c r="W23" s="82"/>
      <c r="X23" s="82"/>
      <c r="Y23" s="50"/>
      <c r="Z23" s="81"/>
      <c r="AA23" s="82"/>
      <c r="AB23" s="82"/>
      <c r="AC23" s="50"/>
      <c r="AD23" s="81"/>
      <c r="AE23" s="82"/>
      <c r="AF23" s="82"/>
      <c r="AG23" s="50"/>
      <c r="AH23" s="81"/>
      <c r="AI23" s="82"/>
      <c r="AJ23" s="82"/>
      <c r="AK23" s="50"/>
      <c r="AL23" s="81"/>
      <c r="AM23" s="82"/>
      <c r="AN23" s="82"/>
      <c r="AO23" s="50"/>
    </row>
    <row r="24" spans="1:41" s="22" customFormat="1" hidden="1" x14ac:dyDescent="0.25">
      <c r="A24" s="67" t="s">
        <v>141</v>
      </c>
      <c r="B24" s="226" t="e">
        <f>B9/'Defined Values'!$B$28+'Defined Values'!$B$27</f>
        <v>#N/A</v>
      </c>
      <c r="C24" s="82"/>
      <c r="D24" s="82"/>
      <c r="E24" s="50"/>
      <c r="F24" s="81" t="e">
        <f>F9/'Defined Values'!$B$28+'Defined Values'!$B$27</f>
        <v>#N/A</v>
      </c>
      <c r="G24" s="82"/>
      <c r="H24" s="82"/>
      <c r="I24" s="50"/>
      <c r="J24" s="81" t="e">
        <f>J9/'Defined Values'!$B$28+'Defined Values'!$B$27</f>
        <v>#N/A</v>
      </c>
      <c r="K24" s="108"/>
      <c r="L24" s="108"/>
      <c r="M24" s="50"/>
      <c r="N24" s="81" t="e">
        <f>N9/'Defined Values'!$B$28+'Defined Values'!$B$27</f>
        <v>#N/A</v>
      </c>
      <c r="O24" s="108"/>
      <c r="P24" s="108"/>
      <c r="Q24" s="111"/>
      <c r="R24" s="81" t="e">
        <f>R9/'Defined Values'!$B$28+'Defined Values'!$B$27</f>
        <v>#N/A</v>
      </c>
      <c r="S24" s="108"/>
      <c r="T24" s="108"/>
      <c r="U24" s="111"/>
      <c r="V24" s="81" t="e">
        <f>V9/'Defined Values'!$B$28+'Defined Values'!$B$27</f>
        <v>#N/A</v>
      </c>
      <c r="W24" s="108"/>
      <c r="X24" s="108"/>
      <c r="Y24" s="111"/>
      <c r="Z24" s="81" t="e">
        <f>Z9/'Defined Values'!$B$28+'Defined Values'!$B$27</f>
        <v>#N/A</v>
      </c>
      <c r="AA24" s="108"/>
      <c r="AB24" s="108"/>
      <c r="AC24" s="111"/>
      <c r="AD24" s="81" t="e">
        <f>AD9/'Defined Values'!$B$28+'Defined Values'!$B$27</f>
        <v>#N/A</v>
      </c>
      <c r="AE24" s="108"/>
      <c r="AF24" s="108"/>
      <c r="AG24" s="111"/>
      <c r="AH24" s="81" t="e">
        <f>AH9/'Defined Values'!$B$28+'Defined Values'!$B$27</f>
        <v>#N/A</v>
      </c>
      <c r="AI24" s="108"/>
      <c r="AJ24" s="108"/>
      <c r="AK24" s="111"/>
      <c r="AL24" s="81" t="e">
        <f>AL9/'Defined Values'!$B$28+'Defined Values'!$B$27</f>
        <v>#N/A</v>
      </c>
      <c r="AM24" s="108"/>
      <c r="AN24" s="108"/>
      <c r="AO24" s="50"/>
    </row>
    <row r="25" spans="1:41" s="22" customFormat="1" hidden="1" x14ac:dyDescent="0.25">
      <c r="A25" s="67" t="s">
        <v>142</v>
      </c>
      <c r="B25" s="82" t="e">
        <f>'Allocation of CDIs'!B16*'2018 Calculator'!B24</f>
        <v>#N/A</v>
      </c>
      <c r="C25" s="82"/>
      <c r="D25" s="82"/>
      <c r="E25" s="78"/>
      <c r="F25" s="82" t="e">
        <f>F24*'Allocation of CDIs'!C16</f>
        <v>#N/A</v>
      </c>
      <c r="G25" s="82"/>
      <c r="H25" s="82"/>
      <c r="I25" s="50"/>
      <c r="J25" s="108" t="e">
        <f>J24*'Allocation of CDIs'!D16</f>
        <v>#N/A</v>
      </c>
      <c r="K25" s="108"/>
      <c r="L25" s="108"/>
      <c r="M25" s="50"/>
      <c r="N25" s="108" t="e">
        <f>N24*'Allocation of CDIs'!E16</f>
        <v>#N/A</v>
      </c>
      <c r="O25" s="108"/>
      <c r="P25" s="108"/>
      <c r="Q25" s="111"/>
      <c r="R25" s="108" t="e">
        <f>R24*'Allocation of CDIs'!F16</f>
        <v>#N/A</v>
      </c>
      <c r="S25" s="108"/>
      <c r="T25" s="108"/>
      <c r="U25" s="111"/>
      <c r="V25" s="108" t="e">
        <f>V24*'Allocation of CDIs'!G16</f>
        <v>#N/A</v>
      </c>
      <c r="W25" s="108"/>
      <c r="X25" s="108"/>
      <c r="Y25" s="111"/>
      <c r="Z25" s="108" t="e">
        <f>Z24*'Allocation of CDIs'!H16</f>
        <v>#N/A</v>
      </c>
      <c r="AA25" s="108"/>
      <c r="AB25" s="108"/>
      <c r="AC25" s="111"/>
      <c r="AD25" s="108" t="e">
        <f>AD24*'Allocation of CDIs'!I16</f>
        <v>#N/A</v>
      </c>
      <c r="AE25" s="108"/>
      <c r="AF25" s="108"/>
      <c r="AG25" s="111"/>
      <c r="AH25" s="108" t="e">
        <f>AH24*'Allocation of CDIs'!J16</f>
        <v>#N/A</v>
      </c>
      <c r="AI25" s="108"/>
      <c r="AJ25" s="108"/>
      <c r="AK25" s="111"/>
      <c r="AL25" s="108" t="e">
        <f>AL24*'Allocation of CDIs'!K16</f>
        <v>#N/A</v>
      </c>
      <c r="AM25" s="108"/>
      <c r="AN25" s="108"/>
      <c r="AO25" s="50"/>
    </row>
    <row r="26" spans="1:41" s="22" customFormat="1" hidden="1" x14ac:dyDescent="0.25">
      <c r="A26" s="67"/>
      <c r="B26" s="83"/>
      <c r="C26" s="84"/>
      <c r="D26" s="84"/>
      <c r="E26" s="63"/>
      <c r="F26" s="83"/>
      <c r="G26" s="84"/>
      <c r="H26" s="84"/>
      <c r="I26" s="63"/>
      <c r="J26" s="109"/>
      <c r="K26" s="110"/>
      <c r="L26" s="110"/>
      <c r="M26" s="63"/>
      <c r="N26" s="110"/>
      <c r="O26" s="110"/>
      <c r="P26" s="110"/>
      <c r="Q26" s="112"/>
      <c r="R26" s="109"/>
      <c r="S26" s="110"/>
      <c r="T26" s="110"/>
      <c r="U26" s="112"/>
      <c r="V26" s="109"/>
      <c r="W26" s="110"/>
      <c r="X26" s="110"/>
      <c r="Y26" s="112"/>
      <c r="Z26" s="109"/>
      <c r="AA26" s="110"/>
      <c r="AB26" s="110"/>
      <c r="AC26" s="112"/>
      <c r="AD26" s="109"/>
      <c r="AE26" s="110"/>
      <c r="AF26" s="110"/>
      <c r="AG26" s="112"/>
      <c r="AH26" s="109"/>
      <c r="AI26" s="110"/>
      <c r="AJ26" s="110"/>
      <c r="AK26" s="112"/>
      <c r="AL26" s="109"/>
      <c r="AM26" s="110"/>
      <c r="AN26" s="110"/>
      <c r="AO26" s="63"/>
    </row>
    <row r="27" spans="1:41" s="22" customFormat="1" hidden="1" x14ac:dyDescent="0.25">
      <c r="E27" s="16"/>
      <c r="I27" s="16"/>
      <c r="M27" s="16"/>
      <c r="N27" s="142"/>
      <c r="O27" s="142"/>
      <c r="P27" s="142"/>
    </row>
    <row r="28" spans="1:41" hidden="1" x14ac:dyDescent="0.25">
      <c r="B28" s="184"/>
    </row>
    <row r="29" spans="1:41" hidden="1" x14ac:dyDescent="0.25">
      <c r="L29" s="19"/>
      <c r="M29" s="19"/>
    </row>
    <row r="30" spans="1:41" hidden="1" x14ac:dyDescent="0.25"/>
    <row r="31" spans="1:41" hidden="1" x14ac:dyDescent="0.25">
      <c r="G31" s="79"/>
    </row>
    <row r="32" spans="1:41" hidden="1" x14ac:dyDescent="0.25">
      <c r="D32" s="185"/>
      <c r="E32" s="74"/>
      <c r="I32" s="79"/>
    </row>
    <row r="33" spans="4:14" hidden="1" x14ac:dyDescent="0.25">
      <c r="D33" s="67"/>
    </row>
    <row r="34" spans="4:14" hidden="1" x14ac:dyDescent="0.25">
      <c r="D34" s="67"/>
    </row>
    <row r="35" spans="4:14" hidden="1" x14ac:dyDescent="0.25">
      <c r="D35" s="67"/>
    </row>
    <row r="36" spans="4:14" hidden="1" x14ac:dyDescent="0.25">
      <c r="K36" s="74"/>
      <c r="N36" s="186"/>
    </row>
    <row r="37" spans="4:14" hidden="1" x14ac:dyDescent="0.25">
      <c r="K37" s="74"/>
    </row>
    <row r="38" spans="4:14" hidden="1" x14ac:dyDescent="0.25"/>
    <row r="39" spans="4:14" hidden="1" x14ac:dyDescent="0.25">
      <c r="D39" s="185"/>
    </row>
    <row r="40" spans="4:14" hidden="1" x14ac:dyDescent="0.25">
      <c r="D40" s="67"/>
      <c r="L40" s="19"/>
      <c r="M40" s="19"/>
    </row>
    <row r="41" spans="4:14" hidden="1" x14ac:dyDescent="0.25">
      <c r="D41" s="67"/>
      <c r="I41" s="79"/>
    </row>
    <row r="42" spans="4:14" hidden="1" x14ac:dyDescent="0.25">
      <c r="D42" s="67"/>
    </row>
  </sheetData>
  <sheetProtection password="B45D" sheet="1" objects="1" scenarios="1" selectLockedCells="1" selectUnlockedCells="1"/>
  <mergeCells count="31">
    <mergeCell ref="AH3:AK3"/>
    <mergeCell ref="AL3:AO3"/>
    <mergeCell ref="B18:E18"/>
    <mergeCell ref="N3:Q3"/>
    <mergeCell ref="R3:U3"/>
    <mergeCell ref="V3:Y3"/>
    <mergeCell ref="Z3:AC3"/>
    <mergeCell ref="AD3:AG3"/>
    <mergeCell ref="B17:E17"/>
    <mergeCell ref="N17:Q17"/>
    <mergeCell ref="F18:I18"/>
    <mergeCell ref="J18:M18"/>
    <mergeCell ref="N18:Q18"/>
    <mergeCell ref="R17:U17"/>
    <mergeCell ref="R18:U18"/>
    <mergeCell ref="V17:Y17"/>
    <mergeCell ref="A1:M1"/>
    <mergeCell ref="B3:E3"/>
    <mergeCell ref="F3:I3"/>
    <mergeCell ref="J3:M3"/>
    <mergeCell ref="F17:I17"/>
    <mergeCell ref="J17:M17"/>
    <mergeCell ref="AH17:AK17"/>
    <mergeCell ref="AH18:AK18"/>
    <mergeCell ref="AL17:AO17"/>
    <mergeCell ref="AL18:AO18"/>
    <mergeCell ref="V18:Y18"/>
    <mergeCell ref="Z17:AC17"/>
    <mergeCell ref="Z18:AC18"/>
    <mergeCell ref="AD17:AG17"/>
    <mergeCell ref="AD18:AG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0.249977111117893"/>
  </sheetPr>
  <dimension ref="A1:AO12"/>
  <sheetViews>
    <sheetView workbookViewId="0">
      <pane xSplit="1" topLeftCell="B1" activePane="topRight" state="frozen"/>
      <selection activeCell="A18" sqref="A18:XFD25"/>
      <selection pane="topRight" sqref="A1:M1"/>
    </sheetView>
  </sheetViews>
  <sheetFormatPr defaultColWidth="0" defaultRowHeight="15" zeroHeight="1" x14ac:dyDescent="0.25"/>
  <cols>
    <col min="1" max="1" width="43" style="22" bestFit="1" customWidth="1"/>
    <col min="2" max="4" width="9.140625" style="22" customWidth="1"/>
    <col min="5" max="5" width="9.140625" style="16" customWidth="1"/>
    <col min="6" max="8" width="9.140625" style="22" customWidth="1"/>
    <col min="9" max="9" width="9.140625" style="16" customWidth="1"/>
    <col min="10" max="12" width="9.140625" style="22" customWidth="1"/>
    <col min="13" max="13" width="9.140625" style="16" customWidth="1"/>
    <col min="14" max="41" width="9.140625" style="22" customWidth="1"/>
    <col min="42" max="16384" width="9.140625" style="22" hidden="1"/>
  </cols>
  <sheetData>
    <row r="1" spans="1:41" x14ac:dyDescent="0.25">
      <c r="A1" s="286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41" x14ac:dyDescent="0.25"/>
    <row r="3" spans="1:41" x14ac:dyDescent="0.25">
      <c r="B3" s="290" t="s">
        <v>32</v>
      </c>
      <c r="C3" s="291"/>
      <c r="D3" s="291"/>
      <c r="E3" s="292"/>
      <c r="F3" s="290" t="s">
        <v>36</v>
      </c>
      <c r="G3" s="291"/>
      <c r="H3" s="291"/>
      <c r="I3" s="292"/>
      <c r="J3" s="290" t="s">
        <v>37</v>
      </c>
      <c r="K3" s="291"/>
      <c r="L3" s="291"/>
      <c r="M3" s="292"/>
      <c r="N3" s="290" t="s">
        <v>72</v>
      </c>
      <c r="O3" s="291"/>
      <c r="P3" s="291"/>
      <c r="Q3" s="292"/>
      <c r="R3" s="290" t="s">
        <v>73</v>
      </c>
      <c r="S3" s="291"/>
      <c r="T3" s="291"/>
      <c r="U3" s="292"/>
      <c r="V3" s="290" t="s">
        <v>74</v>
      </c>
      <c r="W3" s="291"/>
      <c r="X3" s="291"/>
      <c r="Y3" s="292"/>
      <c r="Z3" s="290" t="s">
        <v>75</v>
      </c>
      <c r="AA3" s="291"/>
      <c r="AB3" s="291"/>
      <c r="AC3" s="292"/>
      <c r="AD3" s="290" t="s">
        <v>76</v>
      </c>
      <c r="AE3" s="291"/>
      <c r="AF3" s="291"/>
      <c r="AG3" s="292"/>
      <c r="AH3" s="290" t="s">
        <v>77</v>
      </c>
      <c r="AI3" s="291"/>
      <c r="AJ3" s="291"/>
      <c r="AK3" s="292"/>
      <c r="AL3" s="290" t="s">
        <v>78</v>
      </c>
      <c r="AM3" s="291"/>
      <c r="AN3" s="291"/>
      <c r="AO3" s="292"/>
    </row>
    <row r="4" spans="1:41" x14ac:dyDescent="0.25">
      <c r="B4" s="54" t="s">
        <v>14</v>
      </c>
      <c r="C4" s="35" t="s">
        <v>15</v>
      </c>
      <c r="D4" s="35" t="s">
        <v>4</v>
      </c>
      <c r="E4" s="50" t="s">
        <v>0</v>
      </c>
      <c r="F4" s="54" t="s">
        <v>14</v>
      </c>
      <c r="G4" s="35" t="s">
        <v>15</v>
      </c>
      <c r="H4" s="35" t="s">
        <v>4</v>
      </c>
      <c r="I4" s="50" t="s">
        <v>0</v>
      </c>
      <c r="J4" s="54" t="s">
        <v>14</v>
      </c>
      <c r="K4" s="35" t="s">
        <v>15</v>
      </c>
      <c r="L4" s="35" t="s">
        <v>4</v>
      </c>
      <c r="M4" s="50" t="s">
        <v>0</v>
      </c>
      <c r="N4" s="54" t="s">
        <v>14</v>
      </c>
      <c r="O4" s="35" t="s">
        <v>15</v>
      </c>
      <c r="P4" s="35" t="s">
        <v>4</v>
      </c>
      <c r="Q4" s="50" t="s">
        <v>0</v>
      </c>
      <c r="R4" s="54" t="s">
        <v>14</v>
      </c>
      <c r="S4" s="35" t="s">
        <v>15</v>
      </c>
      <c r="T4" s="35" t="s">
        <v>4</v>
      </c>
      <c r="U4" s="50" t="s">
        <v>0</v>
      </c>
      <c r="V4" s="54" t="s">
        <v>14</v>
      </c>
      <c r="W4" s="35" t="s">
        <v>15</v>
      </c>
      <c r="X4" s="35" t="s">
        <v>4</v>
      </c>
      <c r="Y4" s="50" t="s">
        <v>0</v>
      </c>
      <c r="Z4" s="54" t="s">
        <v>14</v>
      </c>
      <c r="AA4" s="35" t="s">
        <v>15</v>
      </c>
      <c r="AB4" s="35" t="s">
        <v>4</v>
      </c>
      <c r="AC4" s="50" t="s">
        <v>0</v>
      </c>
      <c r="AD4" s="54" t="s">
        <v>14</v>
      </c>
      <c r="AE4" s="35" t="s">
        <v>15</v>
      </c>
      <c r="AF4" s="35" t="s">
        <v>4</v>
      </c>
      <c r="AG4" s="50" t="s">
        <v>0</v>
      </c>
      <c r="AH4" s="54" t="s">
        <v>14</v>
      </c>
      <c r="AI4" s="35" t="s">
        <v>15</v>
      </c>
      <c r="AJ4" s="35" t="s">
        <v>4</v>
      </c>
      <c r="AK4" s="50" t="s">
        <v>0</v>
      </c>
      <c r="AL4" s="54" t="s">
        <v>14</v>
      </c>
      <c r="AM4" s="35" t="s">
        <v>15</v>
      </c>
      <c r="AN4" s="35" t="s">
        <v>4</v>
      </c>
      <c r="AO4" s="50" t="s">
        <v>0</v>
      </c>
    </row>
    <row r="5" spans="1:41" x14ac:dyDescent="0.25">
      <c r="A5" s="22" t="s">
        <v>44</v>
      </c>
      <c r="B5" s="55" t="e">
        <f>'Manual Input'!B36</f>
        <v>#N/A</v>
      </c>
      <c r="C5" s="56" t="e">
        <f>'Manual Input'!B37</f>
        <v>#N/A</v>
      </c>
      <c r="D5" s="56" t="e">
        <f>'Manual Input'!B38</f>
        <v>#N/A</v>
      </c>
      <c r="E5" s="50" t="e">
        <f>SUM(B5:D5)</f>
        <v>#N/A</v>
      </c>
      <c r="F5" s="55" t="e">
        <f>'Manual Input'!C36</f>
        <v>#N/A</v>
      </c>
      <c r="G5" s="56" t="e">
        <f>'Manual Input'!C37</f>
        <v>#N/A</v>
      </c>
      <c r="H5" s="56" t="e">
        <f>'Manual Input'!C38</f>
        <v>#N/A</v>
      </c>
      <c r="I5" s="50" t="e">
        <f>SUM(F5:H5)</f>
        <v>#N/A</v>
      </c>
      <c r="J5" s="55" t="e">
        <f>'Manual Input'!D36</f>
        <v>#N/A</v>
      </c>
      <c r="K5" s="56" t="e">
        <f>'Manual Input'!D37</f>
        <v>#N/A</v>
      </c>
      <c r="L5" s="56" t="e">
        <f>'Manual Input'!D38</f>
        <v>#N/A</v>
      </c>
      <c r="M5" s="50" t="e">
        <f>SUM(J5:L5)</f>
        <v>#N/A</v>
      </c>
      <c r="N5" s="55" t="e">
        <f>'Manual Input'!E36</f>
        <v>#N/A</v>
      </c>
      <c r="O5" s="56" t="e">
        <f>'Manual Input'!E37</f>
        <v>#N/A</v>
      </c>
      <c r="P5" s="56" t="e">
        <f>'Manual Input'!E38</f>
        <v>#N/A</v>
      </c>
      <c r="Q5" s="50" t="e">
        <f>SUM(N5:P5)</f>
        <v>#N/A</v>
      </c>
      <c r="R5" s="55" t="e">
        <f>'Manual Input'!F36</f>
        <v>#N/A</v>
      </c>
      <c r="S5" s="56" t="e">
        <f>'Manual Input'!F37</f>
        <v>#N/A</v>
      </c>
      <c r="T5" s="56" t="e">
        <f>'Manual Input'!F38</f>
        <v>#N/A</v>
      </c>
      <c r="U5" s="50" t="e">
        <f>SUM(R5:T5)</f>
        <v>#N/A</v>
      </c>
      <c r="V5" s="55" t="e">
        <f>'Manual Input'!G36</f>
        <v>#N/A</v>
      </c>
      <c r="W5" s="56" t="e">
        <f>'Manual Input'!G37</f>
        <v>#N/A</v>
      </c>
      <c r="X5" s="56" t="e">
        <f>'Manual Input'!G38</f>
        <v>#N/A</v>
      </c>
      <c r="Y5" s="50" t="e">
        <f>SUM(V5:X5)</f>
        <v>#N/A</v>
      </c>
      <c r="Z5" s="55" t="e">
        <f>'Manual Input'!H36</f>
        <v>#N/A</v>
      </c>
      <c r="AA5" s="56" t="e">
        <f>'Manual Input'!H37</f>
        <v>#N/A</v>
      </c>
      <c r="AB5" s="56" t="e">
        <f>'Manual Input'!H38</f>
        <v>#N/A</v>
      </c>
      <c r="AC5" s="50" t="e">
        <f>SUM(Z5:AB5)</f>
        <v>#N/A</v>
      </c>
      <c r="AD5" s="55" t="e">
        <f>'Manual Input'!I36</f>
        <v>#N/A</v>
      </c>
      <c r="AE5" s="56" t="e">
        <f>'Manual Input'!I37</f>
        <v>#N/A</v>
      </c>
      <c r="AF5" s="56" t="e">
        <f>'Manual Input'!I38</f>
        <v>#N/A</v>
      </c>
      <c r="AG5" s="50" t="e">
        <f>SUM(AD5:AF5)</f>
        <v>#N/A</v>
      </c>
      <c r="AH5" s="55" t="e">
        <f>'Manual Input'!J36</f>
        <v>#N/A</v>
      </c>
      <c r="AI5" s="56" t="e">
        <f>'Manual Input'!J37</f>
        <v>#N/A</v>
      </c>
      <c r="AJ5" s="56" t="e">
        <f>'Manual Input'!J38</f>
        <v>#N/A</v>
      </c>
      <c r="AK5" s="50" t="e">
        <f>SUM(AH5:AJ5)</f>
        <v>#N/A</v>
      </c>
      <c r="AL5" s="55" t="e">
        <f>'Manual Input'!K36</f>
        <v>#N/A</v>
      </c>
      <c r="AM5" s="56" t="e">
        <f>'Manual Input'!K37</f>
        <v>#N/A</v>
      </c>
      <c r="AN5" s="56" t="e">
        <f>'Manual Input'!K38</f>
        <v>#N/A</v>
      </c>
      <c r="AO5" s="50" t="e">
        <f>SUM(AL5:AN5)</f>
        <v>#N/A</v>
      </c>
    </row>
    <row r="6" spans="1:41" x14ac:dyDescent="0.25">
      <c r="A6" s="22" t="s">
        <v>43</v>
      </c>
      <c r="B6" s="85" t="e">
        <f>'Summary Sheet'!$C$5*LOOKUP(2,1/(NTA!$A$15:$A$22&lt;='Summary Sheet'!$C$3)/(NTA!$B$15:$B$22&gt;='Summary Sheet'!$C$3),NTA!$C$15:$C$22)</f>
        <v>#N/A</v>
      </c>
      <c r="C6" s="86" t="e">
        <f>'Summary Sheet'!$C$5*LOOKUP(2,1/(NTA!$A$15:$A$22&lt;='Summary Sheet'!$C$3)/(NTA!$B$15:$B$22&gt;='Summary Sheet'!$C$3),NTA!$D$15:$D$22)</f>
        <v>#N/A</v>
      </c>
      <c r="D6" s="86" t="e">
        <f>'Summary Sheet'!$C$5*LOOKUP(2,1/(NTA!$A$15:$A$22&lt;='Summary Sheet'!$C$3)/(NTA!$B$15:$B$22&gt;='Summary Sheet'!$C$3),NTA!$E$15:$E$22)</f>
        <v>#N/A</v>
      </c>
      <c r="E6" s="87" t="e">
        <f>SUM(B6:D6)</f>
        <v>#N/A</v>
      </c>
      <c r="F6" s="85" t="e">
        <f>'Summary Sheet'!$D$5*LOOKUP(2,1/(NTA!$A$15:$A$22&lt;='Summary Sheet'!$D$3)/(NTA!$B$15:$B$22&gt;='Summary Sheet'!$D$3),NTA!$C$15:$C$22)</f>
        <v>#N/A</v>
      </c>
      <c r="G6" s="86" t="e">
        <f>'Summary Sheet'!$D$5*LOOKUP(2,1/(NTA!$A$15:$A$22&lt;='Summary Sheet'!$D$3)/(NTA!$B$15:$B$22&gt;='Summary Sheet'!$D$3),NTA!$D$15:$D$22)</f>
        <v>#N/A</v>
      </c>
      <c r="H6" s="86" t="e">
        <f>'Summary Sheet'!$D$5*LOOKUP(2,1/(NTA!$A$15:$A$22&lt;='Summary Sheet'!$D$3)/(NTA!$B$15:$B$22&gt;='Summary Sheet'!$D$3),NTA!$E$15:$E$22)</f>
        <v>#N/A</v>
      </c>
      <c r="I6" s="87" t="e">
        <f>SUM(F6:H6)</f>
        <v>#N/A</v>
      </c>
      <c r="J6" s="85" t="e">
        <f>'Summary Sheet'!$E$5*LOOKUP(2,1/(NTA!$A$15:$A$22&lt;='Summary Sheet'!$E$3)/(NTA!$B$15:$B$22&gt;='Summary Sheet'!$E$3),NTA!$C$15:$C$22)</f>
        <v>#N/A</v>
      </c>
      <c r="K6" s="86" t="e">
        <f>'Summary Sheet'!$E$5*LOOKUP(2,1/(NTA!$A$15:$A$22&lt;='Summary Sheet'!$E$3)/(NTA!$B$15:$B$22&gt;='Summary Sheet'!$E$3),NTA!$D$15:$D$22)</f>
        <v>#N/A</v>
      </c>
      <c r="L6" s="86" t="e">
        <f>'Summary Sheet'!$E$5*LOOKUP(2,1/(NTA!$A$15:$A$22&lt;='Summary Sheet'!$E$3)/(NTA!$B$15:$B$22&gt;='Summary Sheet'!$E$3),NTA!$E$15:$E$22)</f>
        <v>#N/A</v>
      </c>
      <c r="M6" s="87" t="e">
        <f>SUM(J6:L6)</f>
        <v>#N/A</v>
      </c>
      <c r="N6" s="85" t="e">
        <f>'Summary Sheet'!$F$5*LOOKUP(2,1/(NTA!$A$15:$A$22&lt;='Summary Sheet'!$F$3)/(NTA!$B$15:$B$22&gt;='Summary Sheet'!$F$3),NTA!$C$15:$C$22)</f>
        <v>#N/A</v>
      </c>
      <c r="O6" s="86" t="e">
        <f>'Summary Sheet'!$F$5*LOOKUP(2,1/(NTA!$A$15:$A$22&lt;='Summary Sheet'!$F$3)/(NTA!$B$15:$B$22&gt;='Summary Sheet'!$F$3),NTA!$D$15:$D$22)</f>
        <v>#N/A</v>
      </c>
      <c r="P6" s="86" t="e">
        <f>'Summary Sheet'!$F$5*LOOKUP(2,1/(NTA!$A$15:$A$22&lt;='Summary Sheet'!$F$3)/(NTA!$B$15:$B$22&gt;='Summary Sheet'!$F$3),NTA!$E$15:$E$22)</f>
        <v>#N/A</v>
      </c>
      <c r="Q6" s="87" t="e">
        <f>SUM(N6:P6)</f>
        <v>#N/A</v>
      </c>
      <c r="R6" s="85" t="e">
        <f>'Summary Sheet'!$G$5*LOOKUP(2,1/(NTA!$A$15:$A$22&lt;='Summary Sheet'!$G$3)/(NTA!$B$15:$B$22&gt;='Summary Sheet'!$G$3),NTA!$C$15:$C$22)</f>
        <v>#N/A</v>
      </c>
      <c r="S6" s="86" t="e">
        <f>'Summary Sheet'!$G$5*LOOKUP(2,1/(NTA!$A$15:$A$22&lt;='Summary Sheet'!$G$3)/(NTA!$B$15:$B$22&gt;='Summary Sheet'!$G$3),NTA!$D$15:$D$22)</f>
        <v>#N/A</v>
      </c>
      <c r="T6" s="86" t="e">
        <f>'Summary Sheet'!$G$5*LOOKUP(2,1/(NTA!$A$15:$A$22&lt;='Summary Sheet'!$G$3)/(NTA!$B$15:$B$22&gt;='Summary Sheet'!$G$3),NTA!$E$15:$E$22)</f>
        <v>#N/A</v>
      </c>
      <c r="U6" s="87" t="e">
        <f>SUM(R6:T6)</f>
        <v>#N/A</v>
      </c>
      <c r="V6" s="85" t="e">
        <f>'Summary Sheet'!$H$5*LOOKUP(2,1/(NTA!$A$15:$A$22&lt;='Summary Sheet'!$H$3)/(NTA!$B$15:$B$22&gt;='Summary Sheet'!$H$3),NTA!$C$15:$C$22)</f>
        <v>#N/A</v>
      </c>
      <c r="W6" s="86" t="e">
        <f>'Summary Sheet'!$H$5*LOOKUP(2,1/(NTA!$A$15:$A$22&lt;='Summary Sheet'!$H$3)/(NTA!$B$15:$B$22&gt;='Summary Sheet'!$H$3),NTA!$D$15:$D$22)</f>
        <v>#N/A</v>
      </c>
      <c r="X6" s="86" t="e">
        <f>'Summary Sheet'!$H$5*LOOKUP(2,1/(NTA!$A$15:$A$22&lt;='Summary Sheet'!$H$3)/(NTA!$B$15:$B$22&gt;='Summary Sheet'!$H$3),NTA!$E$15:$E$22)</f>
        <v>#N/A</v>
      </c>
      <c r="Y6" s="87" t="e">
        <f>SUM(V6:X6)</f>
        <v>#N/A</v>
      </c>
      <c r="Z6" s="85" t="e">
        <f>'Summary Sheet'!$I$5*LOOKUP(2,1/(NTA!$A$15:$A$22&lt;='Summary Sheet'!$I$3)/(NTA!$B$15:$B$22&gt;='Summary Sheet'!$I$3),NTA!$C$15:$C$22)</f>
        <v>#N/A</v>
      </c>
      <c r="AA6" s="86" t="e">
        <f>'Summary Sheet'!$I$5*LOOKUP(2,1/(NTA!$A$15:$A$22&lt;='Summary Sheet'!$I$3)/(NTA!$B$15:$B$22&gt;='Summary Sheet'!$I$3),NTA!$D$15:$D$22)</f>
        <v>#N/A</v>
      </c>
      <c r="AB6" s="86" t="e">
        <f>'Summary Sheet'!$I$5*LOOKUP(2,1/(NTA!$A$15:$A$22&lt;='Summary Sheet'!$I$3)/(NTA!$B$15:$B$22&gt;='Summary Sheet'!$I$3),NTA!$E$15:$E$22)</f>
        <v>#N/A</v>
      </c>
      <c r="AC6" s="87" t="e">
        <f>SUM(Z6:AB6)</f>
        <v>#N/A</v>
      </c>
      <c r="AD6" s="85" t="e">
        <f>'Summary Sheet'!$J$5*LOOKUP(2,1/(NTA!$A$15:$A$22&lt;='Summary Sheet'!$J$3)/(NTA!$B$15:$B$22&gt;='Summary Sheet'!$J$3),NTA!$C$15:$C$22)</f>
        <v>#N/A</v>
      </c>
      <c r="AE6" s="86" t="e">
        <f>'Summary Sheet'!$J$5*LOOKUP(2,1/(NTA!$A$15:$A$22&lt;='Summary Sheet'!$J$3)/(NTA!$B$15:$B$22&gt;='Summary Sheet'!$J$3),NTA!$D$15:$D$22)</f>
        <v>#N/A</v>
      </c>
      <c r="AF6" s="86" t="e">
        <f>'Summary Sheet'!$J$5*LOOKUP(2,1/(NTA!$A$15:$A$22&lt;='Summary Sheet'!$J$3)/(NTA!$B$15:$B$22&gt;='Summary Sheet'!$J$3),NTA!$E$15:$E$22)</f>
        <v>#N/A</v>
      </c>
      <c r="AG6" s="87" t="e">
        <f>SUM(AD6:AF6)</f>
        <v>#N/A</v>
      </c>
      <c r="AH6" s="85" t="e">
        <f>'Summary Sheet'!$K$5*LOOKUP(2,1/(NTA!$A$15:$A$22&lt;='Summary Sheet'!$K$3)/(NTA!$B$15:$B$22&gt;='Summary Sheet'!$K$3),NTA!$C$15:$C$22)</f>
        <v>#N/A</v>
      </c>
      <c r="AI6" s="86" t="e">
        <f>'Summary Sheet'!$K$5*LOOKUP(2,1/(NTA!$A$15:$A$22&lt;='Summary Sheet'!$K$3)/(NTA!$B$15:$B$22&gt;='Summary Sheet'!$K$3),NTA!$D$15:$D$22)</f>
        <v>#N/A</v>
      </c>
      <c r="AJ6" s="86" t="e">
        <f>'Summary Sheet'!$K$5*LOOKUP(2,1/(NTA!$A$15:$A$22&lt;='Summary Sheet'!$K$3)/(NTA!$B$15:$B$22&gt;='Summary Sheet'!$K$3),NTA!$E$15:$E$22)</f>
        <v>#N/A</v>
      </c>
      <c r="AK6" s="87" t="e">
        <f>SUM(AH6:AJ6)</f>
        <v>#N/A</v>
      </c>
      <c r="AL6" s="85" t="e">
        <f>'Summary Sheet'!$L$5*LOOKUP(2,1/(NTA!$A$15:$A$22&lt;='Summary Sheet'!$L$3)/(NTA!$B$15:$B$22&gt;='Summary Sheet'!$L$3),NTA!$C$15:$C$22)</f>
        <v>#N/A</v>
      </c>
      <c r="AM6" s="86" t="e">
        <f>'Summary Sheet'!$L$5*LOOKUP(2,1/(NTA!$A$15:$A$22&lt;='Summary Sheet'!$L$3)/(NTA!$B$15:$B$22&gt;='Summary Sheet'!$L$3),NTA!$D$15:$D$22)</f>
        <v>#N/A</v>
      </c>
      <c r="AN6" s="86" t="e">
        <f>'Summary Sheet'!$L$5*LOOKUP(2,1/(NTA!$A$15:$A$22&lt;='Summary Sheet'!$L$3)/(NTA!$B$15:$B$22&gt;='Summary Sheet'!$L$3),NTA!$E$15:$E$22)</f>
        <v>#N/A</v>
      </c>
      <c r="AO6" s="87" t="e">
        <f>SUM(AL6:AN6)</f>
        <v>#N/A</v>
      </c>
    </row>
    <row r="7" spans="1:41" x14ac:dyDescent="0.25">
      <c r="A7" s="22" t="s">
        <v>90</v>
      </c>
      <c r="B7" s="85" t="e">
        <f>IF(ISNA(B5),B6,B5)</f>
        <v>#N/A</v>
      </c>
      <c r="C7" s="86" t="e">
        <f>IF(ISNA(C5),C6,C5)</f>
        <v>#N/A</v>
      </c>
      <c r="D7" s="86" t="e">
        <f>IF(ISNA(D5),D6,D5)</f>
        <v>#N/A</v>
      </c>
      <c r="E7" s="87" t="e">
        <f>SUM(B7:D7)</f>
        <v>#N/A</v>
      </c>
      <c r="F7" s="85" t="e">
        <f>IF(ISNA(F5),F6,F5)</f>
        <v>#N/A</v>
      </c>
      <c r="G7" s="86" t="e">
        <f>IF(ISNA(G5),G6,G5)</f>
        <v>#N/A</v>
      </c>
      <c r="H7" s="86" t="e">
        <f>IF(ISNA(H5),H6,H5)</f>
        <v>#N/A</v>
      </c>
      <c r="I7" s="87" t="e">
        <f>SUM(F7:H7)</f>
        <v>#N/A</v>
      </c>
      <c r="J7" s="85" t="e">
        <f>IF(ISNA(J5),J6,J5)</f>
        <v>#N/A</v>
      </c>
      <c r="K7" s="86" t="e">
        <f>IF(ISNA(K5),K6,K5)</f>
        <v>#N/A</v>
      </c>
      <c r="L7" s="86" t="e">
        <f>IF(ISNA(L5),L6,L5)</f>
        <v>#N/A</v>
      </c>
      <c r="M7" s="87" t="e">
        <f>SUM(J7:L7)</f>
        <v>#N/A</v>
      </c>
      <c r="N7" s="85" t="e">
        <f>IF(ISNA(N5),N6,N5)</f>
        <v>#N/A</v>
      </c>
      <c r="O7" s="86" t="e">
        <f>IF(ISNA(O5),O6,O5)</f>
        <v>#N/A</v>
      </c>
      <c r="P7" s="86" t="e">
        <f>IF(ISNA(P5),P6,P5)</f>
        <v>#N/A</v>
      </c>
      <c r="Q7" s="87" t="e">
        <f>SUM(N7:P7)</f>
        <v>#N/A</v>
      </c>
      <c r="R7" s="85" t="e">
        <f>IF(ISNA(R5),R6,R5)</f>
        <v>#N/A</v>
      </c>
      <c r="S7" s="86" t="e">
        <f>IF(ISNA(S5),S6,S5)</f>
        <v>#N/A</v>
      </c>
      <c r="T7" s="86" t="e">
        <f>IF(ISNA(T5),T6,T5)</f>
        <v>#N/A</v>
      </c>
      <c r="U7" s="87" t="e">
        <f>SUM(R7:T7)</f>
        <v>#N/A</v>
      </c>
      <c r="V7" s="85" t="e">
        <f>IF(ISNA(V5),V6,V5)</f>
        <v>#N/A</v>
      </c>
      <c r="W7" s="86" t="e">
        <f>IF(ISNA(W5),W6,W5)</f>
        <v>#N/A</v>
      </c>
      <c r="X7" s="86" t="e">
        <f>IF(ISNA(X5),X6,X5)</f>
        <v>#N/A</v>
      </c>
      <c r="Y7" s="87" t="e">
        <f>SUM(V7:X7)</f>
        <v>#N/A</v>
      </c>
      <c r="Z7" s="85" t="e">
        <f>IF(ISNA(Z5),Z6,Z5)</f>
        <v>#N/A</v>
      </c>
      <c r="AA7" s="86" t="e">
        <f>IF(ISNA(AA5),AA6,AA5)</f>
        <v>#N/A</v>
      </c>
      <c r="AB7" s="86" t="e">
        <f>IF(ISNA(AB5),AB6,AB5)</f>
        <v>#N/A</v>
      </c>
      <c r="AC7" s="87" t="e">
        <f>SUM(Z7:AB7)</f>
        <v>#N/A</v>
      </c>
      <c r="AD7" s="85" t="e">
        <f>IF(ISNA(AD5),AD6,AD5)</f>
        <v>#N/A</v>
      </c>
      <c r="AE7" s="86" t="e">
        <f>IF(ISNA(AE5),AE6,AE5)</f>
        <v>#N/A</v>
      </c>
      <c r="AF7" s="86" t="e">
        <f>IF(ISNA(AF5),AF6,AF5)</f>
        <v>#N/A</v>
      </c>
      <c r="AG7" s="87" t="e">
        <f>SUM(AD7:AF7)</f>
        <v>#N/A</v>
      </c>
      <c r="AH7" s="85" t="e">
        <f>IF(ISNA(AH5),AH6,AH5)</f>
        <v>#N/A</v>
      </c>
      <c r="AI7" s="86" t="e">
        <f>IF(ISNA(AI5),AI6,AI5)</f>
        <v>#N/A</v>
      </c>
      <c r="AJ7" s="86" t="e">
        <f>IF(ISNA(AJ5),AJ6,AJ5)</f>
        <v>#N/A</v>
      </c>
      <c r="AK7" s="87" t="e">
        <f>SUM(AH7:AJ7)</f>
        <v>#N/A</v>
      </c>
      <c r="AL7" s="85" t="e">
        <f>IF(ISNA(AL5),AL6,AL5)</f>
        <v>#N/A</v>
      </c>
      <c r="AM7" s="86" t="e">
        <f>IF(ISNA(AM5),AM6,AM5)</f>
        <v>#N/A</v>
      </c>
      <c r="AN7" s="86" t="e">
        <f>IF(ISNA(AN5),AN6,AN5)</f>
        <v>#N/A</v>
      </c>
      <c r="AO7" s="87" t="e">
        <f>SUM(AL7:AN7)</f>
        <v>#N/A</v>
      </c>
    </row>
    <row r="8" spans="1:41" x14ac:dyDescent="0.25">
      <c r="A8" s="22" t="s">
        <v>52</v>
      </c>
      <c r="B8" s="85"/>
      <c r="C8" s="86" t="e">
        <f>-LOOKUP(2,1/(TDD!$A$17:$A$26&lt;='Summary Sheet'!$C$3)/(TDD!$B$17:$B$26&gt;='Summary Sheet'!$C$3),TDD!$E$17:$E$26)</f>
        <v>#N/A</v>
      </c>
      <c r="D8" s="86" t="e">
        <f>-LOOKUP(2,1/(TDD!$A$17:$A$26&lt;='Summary Sheet'!$C$3)/(TDD!$B$17:$B$26&gt;='Summary Sheet'!$C$3),TDD!$G$17:$G$26)</f>
        <v>#N/A</v>
      </c>
      <c r="E8" s="87" t="e">
        <f>SUM(B8:D8)</f>
        <v>#N/A</v>
      </c>
      <c r="F8" s="54"/>
      <c r="G8" s="86" t="e">
        <f>-LOOKUP(2,1/(TDD!$A$17:$A$26&lt;='Summary Sheet'!$D$3)/(TDD!$B$17:$B$26&gt;='Summary Sheet'!$D$3),TDD!$E$17:$E$26)</f>
        <v>#N/A</v>
      </c>
      <c r="H8" s="86" t="e">
        <f>-LOOKUP(2,1/(TDD!$A$17:$E$26&lt;='Summary Sheet'!$D$3)/(TDD!$B$17:$B$26&gt;='Summary Sheet'!$D$3),TDD!$G$17:$G$26)</f>
        <v>#N/A</v>
      </c>
      <c r="I8" s="87" t="e">
        <f>SUM(F8:H8)</f>
        <v>#N/A</v>
      </c>
      <c r="J8" s="54"/>
      <c r="K8" s="86" t="e">
        <f>-LOOKUP(2,1/(TDD!$A$17:$A$26&lt;='Summary Sheet'!$E$3)/(TDD!$B$17:$B$26&gt;='Summary Sheet'!$E$3),TDD!$E$17:$E$26)</f>
        <v>#N/A</v>
      </c>
      <c r="L8" s="86" t="e">
        <f>-LOOKUP(2,1/(TDD!$A$17:$A$26&lt;='Summary Sheet'!$E$3)/(TDD!$B$17:$B$26&gt;='Summary Sheet'!$E$3),TDD!$G$17:$G$26)</f>
        <v>#N/A</v>
      </c>
      <c r="M8" s="87" t="e">
        <f>SUM(J8:L8)</f>
        <v>#N/A</v>
      </c>
      <c r="N8" s="54"/>
      <c r="O8" s="86" t="e">
        <f>-LOOKUP(2,1/(TDD!$A$17:$A$26&lt;='Summary Sheet'!$F$3)/(TDD!$B$17:$B$26&gt;='Summary Sheet'!$F$3),TDD!$E$17:$E$26)</f>
        <v>#N/A</v>
      </c>
      <c r="P8" s="86" t="e">
        <f>-LOOKUP(2,1/(TDD!$A$17:$A$26&lt;='Summary Sheet'!$F$3)/(TDD!$B$17:$B$26&gt;='Summary Sheet'!$F$3),TDD!$G$17:$G$26)</f>
        <v>#N/A</v>
      </c>
      <c r="Q8" s="87" t="e">
        <f>SUM(N8:P8)</f>
        <v>#N/A</v>
      </c>
      <c r="R8" s="54"/>
      <c r="S8" s="86" t="e">
        <f>-LOOKUP(2,1/(TDD!$A$17:$A$26&lt;='Summary Sheet'!$G$3)/(TDD!$B$17:$B$26&gt;='Summary Sheet'!$G$3),TDD!$E$17:$E$26)</f>
        <v>#N/A</v>
      </c>
      <c r="T8" s="86" t="e">
        <f>-LOOKUP(2,1/(TDD!$A$17:$A$26&lt;='Summary Sheet'!$G$3)/(TDD!$B$17:$B$26&gt;='Summary Sheet'!$G$3),TDD!$G$17:$G$26)</f>
        <v>#N/A</v>
      </c>
      <c r="U8" s="87" t="e">
        <f>SUM(R8:T8)</f>
        <v>#N/A</v>
      </c>
      <c r="V8" s="54"/>
      <c r="W8" s="86" t="e">
        <f>-LOOKUP(2,1/(TDD!$A$17:$A$26&lt;='Summary Sheet'!$H$3)/(TDD!$B$17:$B$26&gt;='Summary Sheet'!$H$3),TDD!$E$17:$E$26)</f>
        <v>#N/A</v>
      </c>
      <c r="X8" s="86" t="e">
        <f>-LOOKUP(2,1/(TDD!$A$17:$A$26&lt;='Summary Sheet'!$H$3)/(TDD!$B$17:$B$26&gt;='Summary Sheet'!$H$3),TDD!$G$17:$G$26)</f>
        <v>#N/A</v>
      </c>
      <c r="Y8" s="87" t="e">
        <f>SUM(V8:X8)</f>
        <v>#N/A</v>
      </c>
      <c r="Z8" s="54"/>
      <c r="AA8" s="86" t="e">
        <f>-LOOKUP(2,1/(TDD!$A$17:$A$26&lt;='Summary Sheet'!$I$3)/(TDD!$B$17:$B$26&gt;='Summary Sheet'!$I$3),TDD!$E$17:$E$26)</f>
        <v>#N/A</v>
      </c>
      <c r="AB8" s="86" t="e">
        <f>-LOOKUP(2,1/(TDD!$A$17:$A$26&lt;='Summary Sheet'!$I$3)/(TDD!$B$17:$B$26&gt;='Summary Sheet'!$I$3),TDD!$G$17:$G$26)</f>
        <v>#N/A</v>
      </c>
      <c r="AC8" s="87" t="e">
        <f>SUM(Z8:AB8)</f>
        <v>#N/A</v>
      </c>
      <c r="AD8" s="54"/>
      <c r="AE8" s="86" t="e">
        <f>-LOOKUP(2,1/(TDD!$A$17:$A$26&lt;='Summary Sheet'!$J$3)/(TDD!$B$17:$B$26&gt;='Summary Sheet'!$J$3),TDD!$E$17:$E$26)</f>
        <v>#N/A</v>
      </c>
      <c r="AF8" s="86" t="e">
        <f>-LOOKUP(2,1/(TDD!$A$17:$A$26&lt;='Summary Sheet'!$J$3)/(TDD!$B$17:$B$26&gt;='Summary Sheet'!$J$3),TDD!$G$17:$G$26)</f>
        <v>#N/A</v>
      </c>
      <c r="AG8" s="87" t="e">
        <f>SUM(AD8:AF8)</f>
        <v>#N/A</v>
      </c>
      <c r="AH8" s="54"/>
      <c r="AI8" s="86" t="e">
        <f>-LOOKUP(2,1/(TDD!$A$17:$A$26&lt;='Summary Sheet'!$K$3)/(TDD!$B$17:$B$26&gt;='Summary Sheet'!$K$3),TDD!$E$17:$E$26)</f>
        <v>#N/A</v>
      </c>
      <c r="AJ8" s="86" t="e">
        <f>-LOOKUP(2,1/(TDD!$A$17:$A$26&lt;='Summary Sheet'!$K$3)/(TDD!$B$17:$B$26&gt;='Summary Sheet'!$K$3),TDD!$G$17:$G$26)</f>
        <v>#N/A</v>
      </c>
      <c r="AK8" s="87" t="e">
        <f>SUM(AH8:AJ8)</f>
        <v>#N/A</v>
      </c>
      <c r="AL8" s="54"/>
      <c r="AM8" s="86" t="e">
        <f>-LOOKUP(2,1/(TDD!$A$17:$A$26&lt;='Summary Sheet'!$L$3)/(TDD!$B$17:$B$26&gt;='Summary Sheet'!$L$3),TDD!$E$17:$E$26)</f>
        <v>#N/A</v>
      </c>
      <c r="AN8" s="86" t="e">
        <f>-LOOKUP(2,1/(TDD!$A$17:$A$26&lt;='Summary Sheet'!$L$3)/(TDD!$B$17:$B$26&gt;='Summary Sheet'!$L$3),TDD!$G$17:$G$26)</f>
        <v>#N/A</v>
      </c>
      <c r="AO8" s="87" t="e">
        <f>SUM(AL8:AN8)</f>
        <v>#N/A</v>
      </c>
    </row>
    <row r="9" spans="1:41" x14ac:dyDescent="0.25">
      <c r="A9" s="22" t="s">
        <v>53</v>
      </c>
      <c r="B9" s="85" t="e">
        <f>SUM(B7:B8)</f>
        <v>#N/A</v>
      </c>
      <c r="C9" s="86" t="e">
        <f>SUM(C7:C8)</f>
        <v>#N/A</v>
      </c>
      <c r="D9" s="86" t="e">
        <f>SUM(D7:D8)</f>
        <v>#N/A</v>
      </c>
      <c r="E9" s="87" t="e">
        <f>SUM(B9:D9)</f>
        <v>#N/A</v>
      </c>
      <c r="F9" s="85" t="e">
        <f>SUM(F7:F8)</f>
        <v>#N/A</v>
      </c>
      <c r="G9" s="86" t="e">
        <f>SUM(G7:G8)</f>
        <v>#N/A</v>
      </c>
      <c r="H9" s="86" t="e">
        <f>SUM(H7:H8)</f>
        <v>#N/A</v>
      </c>
      <c r="I9" s="87" t="e">
        <f>SUM(F9:H9)</f>
        <v>#N/A</v>
      </c>
      <c r="J9" s="85" t="e">
        <f>SUM(J7:J8)</f>
        <v>#N/A</v>
      </c>
      <c r="K9" s="86" t="e">
        <f>SUM(K7:K8)</f>
        <v>#N/A</v>
      </c>
      <c r="L9" s="86" t="e">
        <f>SUM(L7:L8)</f>
        <v>#N/A</v>
      </c>
      <c r="M9" s="87" t="e">
        <f>SUM(J9:L9)</f>
        <v>#N/A</v>
      </c>
      <c r="N9" s="85" t="e">
        <f>SUM(N7:N8)</f>
        <v>#N/A</v>
      </c>
      <c r="O9" s="86" t="e">
        <f>SUM(O7:O8)</f>
        <v>#N/A</v>
      </c>
      <c r="P9" s="86" t="e">
        <f>SUM(P7:P8)</f>
        <v>#N/A</v>
      </c>
      <c r="Q9" s="87" t="e">
        <f>SUM(N9:P9)</f>
        <v>#N/A</v>
      </c>
      <c r="R9" s="85" t="e">
        <f>SUM(R7:R8)</f>
        <v>#N/A</v>
      </c>
      <c r="S9" s="86" t="e">
        <f>SUM(S7:S8)</f>
        <v>#N/A</v>
      </c>
      <c r="T9" s="86" t="e">
        <f>SUM(T7:T8)</f>
        <v>#N/A</v>
      </c>
      <c r="U9" s="87" t="e">
        <f>SUM(R9:T9)</f>
        <v>#N/A</v>
      </c>
      <c r="V9" s="85" t="e">
        <f>SUM(V7:V8)</f>
        <v>#N/A</v>
      </c>
      <c r="W9" s="86" t="e">
        <f>SUM(W7:W8)</f>
        <v>#N/A</v>
      </c>
      <c r="X9" s="86" t="e">
        <f>SUM(X7:X8)</f>
        <v>#N/A</v>
      </c>
      <c r="Y9" s="87" t="e">
        <f>SUM(V9:X9)</f>
        <v>#N/A</v>
      </c>
      <c r="Z9" s="85" t="e">
        <f>SUM(Z7:Z8)</f>
        <v>#N/A</v>
      </c>
      <c r="AA9" s="86" t="e">
        <f>SUM(AA7:AA8)</f>
        <v>#N/A</v>
      </c>
      <c r="AB9" s="86" t="e">
        <f>SUM(AB7:AB8)</f>
        <v>#N/A</v>
      </c>
      <c r="AC9" s="87" t="e">
        <f>SUM(Z9:AB9)</f>
        <v>#N/A</v>
      </c>
      <c r="AD9" s="85" t="e">
        <f>SUM(AD7:AD8)</f>
        <v>#N/A</v>
      </c>
      <c r="AE9" s="86" t="e">
        <f>SUM(AE7:AE8)</f>
        <v>#N/A</v>
      </c>
      <c r="AF9" s="86" t="e">
        <f>SUM(AF7:AF8)</f>
        <v>#N/A</v>
      </c>
      <c r="AG9" s="87" t="e">
        <f>SUM(AD9:AF9)</f>
        <v>#N/A</v>
      </c>
      <c r="AH9" s="85" t="e">
        <f>SUM(AH7:AH8)</f>
        <v>#N/A</v>
      </c>
      <c r="AI9" s="86" t="e">
        <f>SUM(AI7:AI8)</f>
        <v>#N/A</v>
      </c>
      <c r="AJ9" s="86" t="e">
        <f>SUM(AJ7:AJ8)</f>
        <v>#N/A</v>
      </c>
      <c r="AK9" s="87" t="e">
        <f>SUM(AH9:AJ9)</f>
        <v>#N/A</v>
      </c>
      <c r="AL9" s="85" t="e">
        <f>SUM(AL7:AL8)</f>
        <v>#N/A</v>
      </c>
      <c r="AM9" s="86" t="e">
        <f>SUM(AM7:AM8)</f>
        <v>#N/A</v>
      </c>
      <c r="AN9" s="86" t="e">
        <f>SUM(AN7:AN8)</f>
        <v>#N/A</v>
      </c>
      <c r="AO9" s="87" t="e">
        <f>SUM(AL9:AN9)</f>
        <v>#N/A</v>
      </c>
    </row>
    <row r="10" spans="1:41" x14ac:dyDescent="0.25">
      <c r="B10" s="54"/>
      <c r="C10" s="35"/>
      <c r="D10" s="35"/>
      <c r="E10" s="50"/>
      <c r="F10" s="54"/>
      <c r="G10" s="35"/>
      <c r="H10" s="35"/>
      <c r="I10" s="50"/>
      <c r="J10" s="54"/>
      <c r="K10" s="35"/>
      <c r="L10" s="35"/>
      <c r="M10" s="50"/>
      <c r="N10" s="54"/>
      <c r="O10" s="35"/>
      <c r="P10" s="35"/>
      <c r="Q10" s="50"/>
      <c r="R10" s="54"/>
      <c r="S10" s="35"/>
      <c r="T10" s="35"/>
      <c r="U10" s="50"/>
      <c r="V10" s="54"/>
      <c r="W10" s="35"/>
      <c r="X10" s="35"/>
      <c r="Y10" s="50"/>
      <c r="Z10" s="54"/>
      <c r="AA10" s="35"/>
      <c r="AB10" s="35"/>
      <c r="AC10" s="50"/>
      <c r="AD10" s="54"/>
      <c r="AE10" s="35"/>
      <c r="AF10" s="35"/>
      <c r="AG10" s="50"/>
      <c r="AH10" s="54"/>
      <c r="AI10" s="35"/>
      <c r="AJ10" s="35"/>
      <c r="AK10" s="50"/>
      <c r="AL10" s="54"/>
      <c r="AM10" s="35"/>
      <c r="AN10" s="35"/>
      <c r="AO10" s="50"/>
    </row>
    <row r="11" spans="1:41" x14ac:dyDescent="0.25">
      <c r="B11" s="54" t="s">
        <v>13</v>
      </c>
      <c r="C11" s="35" t="s">
        <v>1</v>
      </c>
      <c r="D11" s="35" t="s">
        <v>4</v>
      </c>
      <c r="E11" s="50" t="s">
        <v>0</v>
      </c>
      <c r="F11" s="54" t="s">
        <v>13</v>
      </c>
      <c r="G11" s="35" t="s">
        <v>1</v>
      </c>
      <c r="H11" s="35" t="s">
        <v>4</v>
      </c>
      <c r="I11" s="50" t="s">
        <v>0</v>
      </c>
      <c r="J11" s="54" t="s">
        <v>13</v>
      </c>
      <c r="K11" s="35" t="s">
        <v>1</v>
      </c>
      <c r="L11" s="35" t="s">
        <v>4</v>
      </c>
      <c r="M11" s="50" t="s">
        <v>0</v>
      </c>
      <c r="N11" s="54" t="s">
        <v>13</v>
      </c>
      <c r="O11" s="35" t="s">
        <v>1</v>
      </c>
      <c r="P11" s="35" t="s">
        <v>4</v>
      </c>
      <c r="Q11" s="50" t="s">
        <v>0</v>
      </c>
      <c r="R11" s="54" t="s">
        <v>13</v>
      </c>
      <c r="S11" s="35" t="s">
        <v>1</v>
      </c>
      <c r="T11" s="35" t="s">
        <v>4</v>
      </c>
      <c r="U11" s="50" t="s">
        <v>0</v>
      </c>
      <c r="V11" s="54" t="s">
        <v>13</v>
      </c>
      <c r="W11" s="35" t="s">
        <v>1</v>
      </c>
      <c r="X11" s="35" t="s">
        <v>4</v>
      </c>
      <c r="Y11" s="50" t="s">
        <v>0</v>
      </c>
      <c r="Z11" s="54" t="s">
        <v>13</v>
      </c>
      <c r="AA11" s="35" t="s">
        <v>1</v>
      </c>
      <c r="AB11" s="35" t="s">
        <v>4</v>
      </c>
      <c r="AC11" s="50" t="s">
        <v>0</v>
      </c>
      <c r="AD11" s="54" t="s">
        <v>13</v>
      </c>
      <c r="AE11" s="35" t="s">
        <v>1</v>
      </c>
      <c r="AF11" s="35" t="s">
        <v>4</v>
      </c>
      <c r="AG11" s="50" t="s">
        <v>0</v>
      </c>
      <c r="AH11" s="54" t="s">
        <v>13</v>
      </c>
      <c r="AI11" s="35" t="s">
        <v>1</v>
      </c>
      <c r="AJ11" s="35" t="s">
        <v>4</v>
      </c>
      <c r="AK11" s="50" t="s">
        <v>0</v>
      </c>
      <c r="AL11" s="54" t="s">
        <v>13</v>
      </c>
      <c r="AM11" s="35" t="s">
        <v>1</v>
      </c>
      <c r="AN11" s="35" t="s">
        <v>4</v>
      </c>
      <c r="AO11" s="50" t="s">
        <v>0</v>
      </c>
    </row>
    <row r="12" spans="1:41" x14ac:dyDescent="0.25">
      <c r="A12" s="22" t="s">
        <v>54</v>
      </c>
      <c r="B12" s="94" t="e">
        <f>B9*0.737</f>
        <v>#N/A</v>
      </c>
      <c r="C12" s="62" t="e">
        <f>C9*0.533</f>
        <v>#N/A</v>
      </c>
      <c r="D12" s="95" t="e">
        <f>D9</f>
        <v>#N/A</v>
      </c>
      <c r="E12" s="63" t="e">
        <f>SUM(B12:D12)</f>
        <v>#N/A</v>
      </c>
      <c r="F12" s="94" t="e">
        <f>F9*0.737</f>
        <v>#N/A</v>
      </c>
      <c r="G12" s="62" t="e">
        <f>G9*0.533</f>
        <v>#N/A</v>
      </c>
      <c r="H12" s="95" t="e">
        <f>H9</f>
        <v>#N/A</v>
      </c>
      <c r="I12" s="63" t="e">
        <f>SUM(F12:H12)</f>
        <v>#N/A</v>
      </c>
      <c r="J12" s="94" t="e">
        <f>J9*0.737</f>
        <v>#N/A</v>
      </c>
      <c r="K12" s="62" t="e">
        <f>K9*0.533</f>
        <v>#N/A</v>
      </c>
      <c r="L12" s="95" t="e">
        <f>L9</f>
        <v>#N/A</v>
      </c>
      <c r="M12" s="63" t="e">
        <f>SUM(J12:L12)</f>
        <v>#N/A</v>
      </c>
      <c r="N12" s="94" t="e">
        <f>N9*0.737</f>
        <v>#N/A</v>
      </c>
      <c r="O12" s="62" t="e">
        <f>O9*0.533</f>
        <v>#N/A</v>
      </c>
      <c r="P12" s="95" t="e">
        <f>P9</f>
        <v>#N/A</v>
      </c>
      <c r="Q12" s="63" t="e">
        <f>SUM(N12:P12)</f>
        <v>#N/A</v>
      </c>
      <c r="R12" s="94" t="e">
        <f>R9*0.737</f>
        <v>#N/A</v>
      </c>
      <c r="S12" s="62" t="e">
        <f>S9*0.533</f>
        <v>#N/A</v>
      </c>
      <c r="T12" s="95" t="e">
        <f>T9</f>
        <v>#N/A</v>
      </c>
      <c r="U12" s="63" t="e">
        <f>SUM(R12:T12)</f>
        <v>#N/A</v>
      </c>
      <c r="V12" s="94" t="e">
        <f>V9*0.737</f>
        <v>#N/A</v>
      </c>
      <c r="W12" s="62" t="e">
        <f>W9*0.533</f>
        <v>#N/A</v>
      </c>
      <c r="X12" s="95" t="e">
        <f>X9</f>
        <v>#N/A</v>
      </c>
      <c r="Y12" s="63" t="e">
        <f>SUM(V12:X12)</f>
        <v>#N/A</v>
      </c>
      <c r="Z12" s="94" t="e">
        <f>Z9*0.737</f>
        <v>#N/A</v>
      </c>
      <c r="AA12" s="62" t="e">
        <f>AA9*0.533</f>
        <v>#N/A</v>
      </c>
      <c r="AB12" s="95" t="e">
        <f>AB9</f>
        <v>#N/A</v>
      </c>
      <c r="AC12" s="63" t="e">
        <f>SUM(Z12:AB12)</f>
        <v>#N/A</v>
      </c>
      <c r="AD12" s="94" t="e">
        <f>AD9*0.737</f>
        <v>#N/A</v>
      </c>
      <c r="AE12" s="62" t="e">
        <f>AE9*0.533</f>
        <v>#N/A</v>
      </c>
      <c r="AF12" s="95" t="e">
        <f>AF9</f>
        <v>#N/A</v>
      </c>
      <c r="AG12" s="63" t="e">
        <f>SUM(AD12:AF12)</f>
        <v>#N/A</v>
      </c>
      <c r="AH12" s="94" t="e">
        <f>AH9*0.737</f>
        <v>#N/A</v>
      </c>
      <c r="AI12" s="62" t="e">
        <f>AI9*0.533</f>
        <v>#N/A</v>
      </c>
      <c r="AJ12" s="95" t="e">
        <f>AJ9</f>
        <v>#N/A</v>
      </c>
      <c r="AK12" s="63" t="e">
        <f>SUM(AH12:AJ12)</f>
        <v>#N/A</v>
      </c>
      <c r="AL12" s="94" t="e">
        <f>AL9*0.737</f>
        <v>#N/A</v>
      </c>
      <c r="AM12" s="62" t="e">
        <f>AM9*0.533</f>
        <v>#N/A</v>
      </c>
      <c r="AN12" s="95" t="e">
        <f>AN9</f>
        <v>#N/A</v>
      </c>
      <c r="AO12" s="63" t="e">
        <f>SUM(AL12:AN12)</f>
        <v>#N/A</v>
      </c>
    </row>
  </sheetData>
  <sheetProtection password="B45D" sheet="1" objects="1" scenarios="1" selectLockedCells="1" selectUnlockedCells="1"/>
  <mergeCells count="11">
    <mergeCell ref="AL3:AO3"/>
    <mergeCell ref="R3:U3"/>
    <mergeCell ref="V3:Y3"/>
    <mergeCell ref="Z3:AC3"/>
    <mergeCell ref="AD3:AG3"/>
    <mergeCell ref="AH3:AK3"/>
    <mergeCell ref="A1:M1"/>
    <mergeCell ref="B3:E3"/>
    <mergeCell ref="F3:I3"/>
    <mergeCell ref="J3:M3"/>
    <mergeCell ref="N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0.249977111117893"/>
  </sheetPr>
  <dimension ref="A1:AO10"/>
  <sheetViews>
    <sheetView workbookViewId="0">
      <pane xSplit="1" ySplit="5" topLeftCell="B6" activePane="bottomRight" state="frozen"/>
      <selection activeCell="A18" sqref="A18:XFD25"/>
      <selection pane="topRight" activeCell="A18" sqref="A18:XFD25"/>
      <selection pane="bottomLeft" activeCell="A18" sqref="A18:XFD25"/>
      <selection pane="bottomRight" sqref="A1:M1"/>
    </sheetView>
  </sheetViews>
  <sheetFormatPr defaultColWidth="0" defaultRowHeight="15" zeroHeight="1" x14ac:dyDescent="0.25"/>
  <cols>
    <col min="1" max="1" width="43" bestFit="1" customWidth="1"/>
    <col min="2" max="4" width="9.140625" customWidth="1"/>
    <col min="5" max="5" width="9.140625" style="16" customWidth="1"/>
    <col min="6" max="8" width="9.140625" customWidth="1"/>
    <col min="9" max="9" width="9.140625" style="16" customWidth="1"/>
    <col min="10" max="12" width="9.140625" customWidth="1"/>
    <col min="13" max="13" width="9.140625" style="16" customWidth="1"/>
    <col min="14" max="41" width="9.140625" customWidth="1"/>
    <col min="42" max="16384" width="9.140625" hidden="1"/>
  </cols>
  <sheetData>
    <row r="1" spans="1:41" x14ac:dyDescent="0.25">
      <c r="A1" s="293" t="s">
        <v>31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4"/>
    </row>
    <row r="2" spans="1:41" x14ac:dyDescent="0.25"/>
    <row r="3" spans="1:41" x14ac:dyDescent="0.25">
      <c r="B3" s="287" t="s">
        <v>32</v>
      </c>
      <c r="C3" s="288"/>
      <c r="D3" s="288"/>
      <c r="E3" s="289"/>
      <c r="F3" s="287" t="s">
        <v>36</v>
      </c>
      <c r="G3" s="288"/>
      <c r="H3" s="288"/>
      <c r="I3" s="289"/>
      <c r="J3" s="287" t="s">
        <v>37</v>
      </c>
      <c r="K3" s="288"/>
      <c r="L3" s="288"/>
      <c r="M3" s="289"/>
      <c r="N3" s="287" t="s">
        <v>72</v>
      </c>
      <c r="O3" s="288"/>
      <c r="P3" s="288"/>
      <c r="Q3" s="289"/>
      <c r="R3" s="287" t="s">
        <v>73</v>
      </c>
      <c r="S3" s="288"/>
      <c r="T3" s="288"/>
      <c r="U3" s="289"/>
      <c r="V3" s="287" t="s">
        <v>74</v>
      </c>
      <c r="W3" s="288"/>
      <c r="X3" s="288"/>
      <c r="Y3" s="289"/>
      <c r="Z3" s="287" t="s">
        <v>75</v>
      </c>
      <c r="AA3" s="288"/>
      <c r="AB3" s="288"/>
      <c r="AC3" s="289"/>
      <c r="AD3" s="287" t="s">
        <v>76</v>
      </c>
      <c r="AE3" s="288"/>
      <c r="AF3" s="288"/>
      <c r="AG3" s="289"/>
      <c r="AH3" s="287" t="s">
        <v>77</v>
      </c>
      <c r="AI3" s="288"/>
      <c r="AJ3" s="288"/>
      <c r="AK3" s="289"/>
      <c r="AL3" s="287" t="s">
        <v>78</v>
      </c>
      <c r="AM3" s="288"/>
      <c r="AN3" s="288"/>
      <c r="AO3" s="289"/>
    </row>
    <row r="4" spans="1:41" x14ac:dyDescent="0.25">
      <c r="B4" s="54" t="s">
        <v>14</v>
      </c>
      <c r="C4" s="35" t="s">
        <v>15</v>
      </c>
      <c r="D4" s="35" t="s">
        <v>4</v>
      </c>
      <c r="E4" s="50" t="s">
        <v>0</v>
      </c>
      <c r="F4" s="51" t="s">
        <v>14</v>
      </c>
      <c r="G4" s="49" t="s">
        <v>15</v>
      </c>
      <c r="H4" s="49" t="s">
        <v>4</v>
      </c>
      <c r="I4" s="50" t="s">
        <v>0</v>
      </c>
      <c r="J4" s="51" t="s">
        <v>14</v>
      </c>
      <c r="K4" s="49" t="s">
        <v>15</v>
      </c>
      <c r="L4" s="49" t="s">
        <v>4</v>
      </c>
      <c r="M4" s="50" t="s">
        <v>0</v>
      </c>
      <c r="N4" s="51" t="s">
        <v>14</v>
      </c>
      <c r="O4" s="49" t="s">
        <v>15</v>
      </c>
      <c r="P4" s="49" t="s">
        <v>4</v>
      </c>
      <c r="Q4" s="50" t="s">
        <v>0</v>
      </c>
      <c r="R4" s="51" t="s">
        <v>14</v>
      </c>
      <c r="S4" s="49" t="s">
        <v>15</v>
      </c>
      <c r="T4" s="49" t="s">
        <v>4</v>
      </c>
      <c r="U4" s="50" t="s">
        <v>0</v>
      </c>
      <c r="V4" s="51" t="s">
        <v>14</v>
      </c>
      <c r="W4" s="49" t="s">
        <v>15</v>
      </c>
      <c r="X4" s="49" t="s">
        <v>4</v>
      </c>
      <c r="Y4" s="50" t="s">
        <v>0</v>
      </c>
      <c r="Z4" s="51" t="s">
        <v>14</v>
      </c>
      <c r="AA4" s="49" t="s">
        <v>15</v>
      </c>
      <c r="AB4" s="49" t="s">
        <v>4</v>
      </c>
      <c r="AC4" s="50" t="s">
        <v>0</v>
      </c>
      <c r="AD4" s="51" t="s">
        <v>14</v>
      </c>
      <c r="AE4" s="49" t="s">
        <v>15</v>
      </c>
      <c r="AF4" s="49" t="s">
        <v>4</v>
      </c>
      <c r="AG4" s="50" t="s">
        <v>0</v>
      </c>
      <c r="AH4" s="51" t="s">
        <v>14</v>
      </c>
      <c r="AI4" s="49" t="s">
        <v>15</v>
      </c>
      <c r="AJ4" s="49" t="s">
        <v>4</v>
      </c>
      <c r="AK4" s="50" t="s">
        <v>0</v>
      </c>
      <c r="AL4" s="51" t="s">
        <v>14</v>
      </c>
      <c r="AM4" s="49" t="s">
        <v>15</v>
      </c>
      <c r="AN4" s="49" t="s">
        <v>4</v>
      </c>
      <c r="AO4" s="50" t="s">
        <v>0</v>
      </c>
    </row>
    <row r="5" spans="1:41" s="22" customFormat="1" x14ac:dyDescent="0.25">
      <c r="A5" s="22" t="s">
        <v>71</v>
      </c>
      <c r="B5" s="55">
        <f>'Manual Input'!B8</f>
        <v>0</v>
      </c>
      <c r="C5" s="56">
        <f>'Manual Input'!B9</f>
        <v>0</v>
      </c>
      <c r="D5" s="56">
        <f>'Manual Input'!B10</f>
        <v>0</v>
      </c>
      <c r="E5" s="50">
        <f t="shared" ref="E5:E10" si="0">SUM(B5:D5)</f>
        <v>0</v>
      </c>
      <c r="F5" s="55">
        <f>'Manual Input'!C8</f>
        <v>0</v>
      </c>
      <c r="G5" s="56">
        <f>'Manual Input'!C9</f>
        <v>0</v>
      </c>
      <c r="H5" s="56">
        <f>'Manual Input'!C10</f>
        <v>0</v>
      </c>
      <c r="I5" s="50">
        <f t="shared" ref="I5:I10" si="1">SUM(F5:H5)</f>
        <v>0</v>
      </c>
      <c r="J5" s="55">
        <f>'Manual Input'!D8</f>
        <v>0</v>
      </c>
      <c r="K5" s="56">
        <f>'Manual Input'!D9</f>
        <v>0</v>
      </c>
      <c r="L5" s="56">
        <f>'Manual Input'!D10</f>
        <v>0</v>
      </c>
      <c r="M5" s="50"/>
      <c r="N5" s="55">
        <f>'Manual Input'!E8</f>
        <v>0</v>
      </c>
      <c r="O5" s="56">
        <f>'Manual Input'!E9</f>
        <v>0</v>
      </c>
      <c r="P5" s="56">
        <f>'Manual Input'!E10</f>
        <v>0</v>
      </c>
      <c r="Q5" s="50"/>
      <c r="R5" s="55">
        <f>'Manual Input'!F8</f>
        <v>0</v>
      </c>
      <c r="S5" s="56">
        <f>'Manual Input'!F9</f>
        <v>0</v>
      </c>
      <c r="T5" s="56">
        <f>'Manual Input'!F10</f>
        <v>0</v>
      </c>
      <c r="U5" s="50"/>
      <c r="V5" s="55">
        <f>'Manual Input'!G8</f>
        <v>0</v>
      </c>
      <c r="W5" s="56">
        <f>'Manual Input'!G9</f>
        <v>0</v>
      </c>
      <c r="X5" s="56">
        <f>'Manual Input'!G10</f>
        <v>0</v>
      </c>
      <c r="Y5" s="50"/>
      <c r="Z5" s="55">
        <f>'Manual Input'!H8</f>
        <v>0</v>
      </c>
      <c r="AA5" s="56">
        <f>'Manual Input'!H9</f>
        <v>0</v>
      </c>
      <c r="AB5" s="56">
        <f>'Manual Input'!H10</f>
        <v>0</v>
      </c>
      <c r="AC5" s="50"/>
      <c r="AD5" s="55">
        <f>'Manual Input'!I8</f>
        <v>0</v>
      </c>
      <c r="AE5" s="56">
        <f>'Manual Input'!I9</f>
        <v>0</v>
      </c>
      <c r="AF5" s="56">
        <f>'Manual Input'!I10</f>
        <v>0</v>
      </c>
      <c r="AG5" s="50"/>
      <c r="AH5" s="55">
        <f>'Manual Input'!J8</f>
        <v>0</v>
      </c>
      <c r="AI5" s="56">
        <f>'Manual Input'!J9</f>
        <v>0</v>
      </c>
      <c r="AJ5" s="56">
        <f>'Manual Input'!J10</f>
        <v>0</v>
      </c>
      <c r="AK5" s="50"/>
      <c r="AL5" s="55">
        <f>'Manual Input'!K8</f>
        <v>0</v>
      </c>
      <c r="AM5" s="56">
        <f>'Manual Input'!K9</f>
        <v>0</v>
      </c>
      <c r="AN5" s="56">
        <f>'Manual Input'!K10</f>
        <v>0</v>
      </c>
      <c r="AO5" s="50"/>
    </row>
    <row r="6" spans="1:41" s="22" customFormat="1" x14ac:dyDescent="0.25">
      <c r="A6" s="22" t="s">
        <v>43</v>
      </c>
      <c r="B6" s="96" t="e">
        <f>'Summary Sheet'!$C$5*LOOKUP(2,1/(NTA!$A$26:$A$38&lt;='Summary Sheet'!$C$3)/(NTA!$B$26:$B$38&gt;='Summary Sheet'!$C$3),NTA!$C$26:$C$38)</f>
        <v>#N/A</v>
      </c>
      <c r="C6" s="97" t="e">
        <f>'Summary Sheet'!$C$5*LOOKUP(2,1/(NTA!$A$26:$A$38&lt;='Summary Sheet'!$C$3)/(NTA!$B$26:$B$38&gt;='Summary Sheet'!$C$3),NTA!$D$26:$D$38)</f>
        <v>#N/A</v>
      </c>
      <c r="D6" s="97" t="e">
        <f>'Summary Sheet'!$C$5*LOOKUP(2,1/(NTA!$A$26:$A$38&lt;='Summary Sheet'!$C$3)/(NTA!$B$26:$B$38&gt;='Summary Sheet'!$C$3),NTA!$E$26:$E$38)</f>
        <v>#N/A</v>
      </c>
      <c r="E6" s="98" t="e">
        <f t="shared" si="0"/>
        <v>#N/A</v>
      </c>
      <c r="F6" s="96" t="e">
        <f>'Summary Sheet'!$D$5*LOOKUP(2,1/(NTA!$A$26:$A$38&lt;='Summary Sheet'!$D$3)/(NTA!$B$26:$B$38&gt;='Summary Sheet'!$D$3),NTA!$C$26:$C$38)</f>
        <v>#N/A</v>
      </c>
      <c r="G6" s="97" t="e">
        <f>'Summary Sheet'!$D$5*LOOKUP(2,1/(NTA!$A$26:$A$38&lt;='Summary Sheet'!$D$3)/(NTA!$B$26:$B$38&gt;='Summary Sheet'!$D$3),NTA!$D$26:$D$38)</f>
        <v>#N/A</v>
      </c>
      <c r="H6" s="97" t="e">
        <f>'Summary Sheet'!$D$5*LOOKUP(2,1/(NTA!$A$26:$A$38&lt;='Summary Sheet'!$D$3)/(NTA!$B$26:$B$38&gt;='Summary Sheet'!$D$3),NTA!$E$26:$E$38)</f>
        <v>#N/A</v>
      </c>
      <c r="I6" s="98" t="e">
        <f t="shared" si="1"/>
        <v>#N/A</v>
      </c>
      <c r="J6" s="96" t="e">
        <f>'Summary Sheet'!$E$5*LOOKUP(2,1/(NTA!$A$26:$A$38&lt;='Summary Sheet'!$E$3)/(NTA!$B$26:$B$38&gt;='Summary Sheet'!$E$3),NTA!$C$26:$C$38)</f>
        <v>#N/A</v>
      </c>
      <c r="K6" s="97" t="e">
        <f>'Summary Sheet'!$E$5*LOOKUP(2,1/(NTA!$A$26:$A$38&lt;='Summary Sheet'!$E$3)/(NTA!$B$26:$B$38&gt;='Summary Sheet'!$E$3),NTA!$D$26:$D$38)</f>
        <v>#N/A</v>
      </c>
      <c r="L6" s="97" t="e">
        <f>'Summary Sheet'!$E$5*LOOKUP(2,1/(NTA!$A$26:$A$38&lt;='Summary Sheet'!$E$3)/(NTA!$B$26:$B$38&gt;='Summary Sheet'!$E$3),NTA!$E$26:$E$38)</f>
        <v>#N/A</v>
      </c>
      <c r="M6" s="98" t="e">
        <f>SUM(J6:L6)</f>
        <v>#N/A</v>
      </c>
      <c r="N6" s="96" t="e">
        <f>'Summary Sheet'!$F$5*LOOKUP(2,1/(NTA!$A$26:$A$38&lt;='Summary Sheet'!$F$3)/(NTA!$B$26:$B$38&gt;='Summary Sheet'!$F$3),NTA!$C$26:$C$38)</f>
        <v>#N/A</v>
      </c>
      <c r="O6" s="97" t="e">
        <f>'Summary Sheet'!$F$5*LOOKUP(2,1/(NTA!$A$26:$A$38&lt;='Summary Sheet'!$F$3)/(NTA!$B$26:$B$38&gt;='Summary Sheet'!$F$3),NTA!$D$26:$D$38)</f>
        <v>#N/A</v>
      </c>
      <c r="P6" s="97" t="e">
        <f>'Summary Sheet'!$F$5*LOOKUP(2,1/(NTA!$A$26:$A$38&lt;='Summary Sheet'!$F$3)/(NTA!$B$26:$B$38&gt;='Summary Sheet'!$F$3),NTA!$E$26:$E$38)</f>
        <v>#N/A</v>
      </c>
      <c r="Q6" s="98" t="e">
        <f>SUM(N6:P6)</f>
        <v>#N/A</v>
      </c>
      <c r="R6" s="96" t="e">
        <f>'Summary Sheet'!$G$5*LOOKUP(2,1/(NTA!$A$26:$A$38&lt;='Summary Sheet'!$G$3)/(NTA!$B$26:$B$38&gt;='Summary Sheet'!$G$3),NTA!$C$26:$C$38)</f>
        <v>#N/A</v>
      </c>
      <c r="S6" s="97" t="e">
        <f>'Summary Sheet'!$G$5*LOOKUP(2,1/(NTA!$A$26:$A$38&lt;='Summary Sheet'!$G$3)/(NTA!$B$26:$B$38&gt;='Summary Sheet'!$G$3),NTA!$D$26:$D$38)</f>
        <v>#N/A</v>
      </c>
      <c r="T6" s="97" t="e">
        <f>'Summary Sheet'!$G$5*LOOKUP(2,1/(NTA!$A$26:$A$38&lt;='Summary Sheet'!$G$3)/(NTA!$B$26:$B$38&gt;='Summary Sheet'!$G$3),NTA!$E$26:$E$38)</f>
        <v>#N/A</v>
      </c>
      <c r="U6" s="98" t="e">
        <f>SUM(R6:T6)</f>
        <v>#N/A</v>
      </c>
      <c r="V6" s="96" t="e">
        <f>'Summary Sheet'!$H$5*LOOKUP(2,1/(NTA!$A$26:$A$38&lt;='Summary Sheet'!$H$3)/(NTA!$B$26:$B$38&gt;='Summary Sheet'!$H$3),NTA!$C$26:$C$38)</f>
        <v>#N/A</v>
      </c>
      <c r="W6" s="97" t="e">
        <f>'Summary Sheet'!$H$5*LOOKUP(2,1/(NTA!$A$26:$A$38&lt;='Summary Sheet'!$H$3)/(NTA!$B$26:$B$38&gt;='Summary Sheet'!$H$3),NTA!$D$26:$D$38)</f>
        <v>#N/A</v>
      </c>
      <c r="X6" s="97" t="e">
        <f>'Summary Sheet'!$H$5*LOOKUP(2,1/(NTA!$A$26:$A$38&lt;='Summary Sheet'!$H$3)/(NTA!$B$26:$B$38&gt;='Summary Sheet'!$H$3),NTA!$E$26:$E$38)</f>
        <v>#N/A</v>
      </c>
      <c r="Y6" s="98" t="e">
        <f>SUM(V6:X6)</f>
        <v>#N/A</v>
      </c>
      <c r="Z6" s="96" t="e">
        <f>'Summary Sheet'!$I$5*LOOKUP(2,1/(NTA!$A$26:$A$38&lt;='Summary Sheet'!$I$3)/(NTA!$B$26:$B$38&gt;='Summary Sheet'!$I$3),NTA!$C$26:$C$38)</f>
        <v>#N/A</v>
      </c>
      <c r="AA6" s="97" t="e">
        <f>'Summary Sheet'!$I$5*LOOKUP(2,1/(NTA!$A$26:$A$38&lt;='Summary Sheet'!$I$3)/(NTA!$B$26:$B$38&gt;='Summary Sheet'!$I$3),NTA!$D$26:$D$38)</f>
        <v>#N/A</v>
      </c>
      <c r="AB6" s="97" t="e">
        <f>'Summary Sheet'!$I$5*LOOKUP(2,1/(NTA!$A$26:$A$38&lt;='Summary Sheet'!$I$3)/(NTA!$B$26:$B$38&gt;='Summary Sheet'!$I$3),NTA!$E$26:$E$38)</f>
        <v>#N/A</v>
      </c>
      <c r="AC6" s="98" t="e">
        <f>SUM(Z6:AB6)</f>
        <v>#N/A</v>
      </c>
      <c r="AD6" s="96" t="e">
        <f>'Summary Sheet'!$J$5*LOOKUP(2,1/(NTA!$A$26:$A$38&lt;='Summary Sheet'!$J$3)/(NTA!$B$26:$B$38&gt;='Summary Sheet'!$J$3),NTA!$C$26:$C$38)</f>
        <v>#N/A</v>
      </c>
      <c r="AE6" s="97" t="e">
        <f>'Summary Sheet'!$J$5*LOOKUP(2,1/(NTA!$A$26:$A$38&lt;='Summary Sheet'!$J$3)/(NTA!$B$26:$B$38&gt;='Summary Sheet'!$J$3),NTA!$D$26:$D$38)</f>
        <v>#N/A</v>
      </c>
      <c r="AF6" s="97" t="e">
        <f>'Summary Sheet'!$J$5*LOOKUP(2,1/(NTA!$A$26:$A$38&lt;='Summary Sheet'!$J$3)/(NTA!$B$26:$B$38&gt;='Summary Sheet'!$J$3),NTA!$E$26:$E$38)</f>
        <v>#N/A</v>
      </c>
      <c r="AG6" s="98" t="e">
        <f>SUM(AD6:AF6)</f>
        <v>#N/A</v>
      </c>
      <c r="AH6" s="96" t="e">
        <f>'Summary Sheet'!$K$5*LOOKUP(2,1/(NTA!$A$26:$A$38&lt;='Summary Sheet'!$K$3)/(NTA!$B$26:$B$38&gt;='Summary Sheet'!$K$3),NTA!$C$26:$C$38)</f>
        <v>#N/A</v>
      </c>
      <c r="AI6" s="97" t="e">
        <f>'Summary Sheet'!$K$5*LOOKUP(2,1/(NTA!$A$26:$A$38&lt;='Summary Sheet'!$K$3)/(NTA!$B$26:$B$38&gt;='Summary Sheet'!$K$3),NTA!$D$26:$D$38)</f>
        <v>#N/A</v>
      </c>
      <c r="AJ6" s="97" t="e">
        <f>'Summary Sheet'!$K$5*LOOKUP(2,1/(NTA!$A$26:$A$38&lt;='Summary Sheet'!$K$3)/(NTA!$B$26:$B$38&gt;='Summary Sheet'!$K$3),NTA!$E$26:$E$38)</f>
        <v>#N/A</v>
      </c>
      <c r="AK6" s="98" t="e">
        <f>SUM(AH6:AJ6)</f>
        <v>#N/A</v>
      </c>
      <c r="AL6" s="96" t="e">
        <f>'Summary Sheet'!$L$5*LOOKUP(2,1/(NTA!$A$26:$A$38&lt;='Summary Sheet'!$L$3)/(NTA!$B$26:$B$38&gt;='Summary Sheet'!$L$3),NTA!$C$26:$C$38)</f>
        <v>#N/A</v>
      </c>
      <c r="AM6" s="97" t="e">
        <f>'Summary Sheet'!$L$5*LOOKUP(2,1/(NTA!$A$26:$A$38&lt;='Summary Sheet'!$L$3)/(NTA!$B$26:$B$38&gt;='Summary Sheet'!$L$3),NTA!$D$26:$D$38)</f>
        <v>#N/A</v>
      </c>
      <c r="AN6" s="97" t="e">
        <f>'Summary Sheet'!$L$5*LOOKUP(2,1/(NTA!$A$26:$A$38&lt;='Summary Sheet'!$L$3)/(NTA!$B$26:$B$38&gt;='Summary Sheet'!$L$3),NTA!$E$26:$E$38)</f>
        <v>#N/A</v>
      </c>
      <c r="AO6" s="98" t="e">
        <f>SUM(AL6:AN6)</f>
        <v>#N/A</v>
      </c>
    </row>
    <row r="7" spans="1:41" x14ac:dyDescent="0.25">
      <c r="A7" t="s">
        <v>90</v>
      </c>
      <c r="B7" s="96" t="e">
        <f>IF(ISBLANK('Manual Input'!B8),B6,'Manual Input'!B8)</f>
        <v>#N/A</v>
      </c>
      <c r="C7" s="97" t="e">
        <f>IF(ISBLANK('Manual Input'!B9),C6,'Manual Input'!B9)</f>
        <v>#N/A</v>
      </c>
      <c r="D7" s="97" t="e">
        <f>IF(ISBLANK('Manual Input'!B10),D6,'Manual Input'!B10)</f>
        <v>#N/A</v>
      </c>
      <c r="E7" s="98" t="e">
        <f t="shared" si="0"/>
        <v>#N/A</v>
      </c>
      <c r="F7" s="96" t="e">
        <f>IF(ISBLANK('Manual Input'!C8),F6,'Manual Input'!C8)</f>
        <v>#N/A</v>
      </c>
      <c r="G7" s="97" t="e">
        <f>IF(ISBLANK('Manual Input'!C9),G6,'Manual Input'!C9)</f>
        <v>#N/A</v>
      </c>
      <c r="H7" s="97" t="e">
        <f>IF(ISBLANK('Manual Input'!C10),H6,'Manual Input'!C10)</f>
        <v>#N/A</v>
      </c>
      <c r="I7" s="98" t="e">
        <f t="shared" si="1"/>
        <v>#N/A</v>
      </c>
      <c r="J7" s="96" t="e">
        <f>IF(ISBLANK('Manual Input'!D8),J6,'Manual Input'!D8)</f>
        <v>#N/A</v>
      </c>
      <c r="K7" s="97" t="e">
        <f>IF(ISBLANK('Manual Input'!D9),K6,'Manual Input'!D9)</f>
        <v>#N/A</v>
      </c>
      <c r="L7" s="97" t="e">
        <f>IF(ISBLANK('Manual Input'!D10),L6,'Manual Input'!D10)</f>
        <v>#N/A</v>
      </c>
      <c r="M7" s="98" t="e">
        <f>SUM(J7:L7)</f>
        <v>#N/A</v>
      </c>
      <c r="N7" s="96" t="e">
        <f>IF(ISBLANK('Manual Input'!E8),N6,'Manual Input'!E8)</f>
        <v>#N/A</v>
      </c>
      <c r="O7" s="97" t="e">
        <f>IF(ISBLANK('Manual Input'!E9),O6,'Manual Input'!E9)</f>
        <v>#N/A</v>
      </c>
      <c r="P7" s="97" t="e">
        <f>IF(ISBLANK('Manual Input'!E10),P6,'Manual Input'!E10)</f>
        <v>#N/A</v>
      </c>
      <c r="Q7" s="98" t="e">
        <f>SUM(N7:P7)</f>
        <v>#N/A</v>
      </c>
      <c r="R7" s="96" t="e">
        <f>IF(ISBLANK('Manual Input'!F8),R6,'Manual Input'!F8)</f>
        <v>#N/A</v>
      </c>
      <c r="S7" s="97" t="e">
        <f>IF(ISBLANK('Manual Input'!F9),S6,'Manual Input'!F9)</f>
        <v>#N/A</v>
      </c>
      <c r="T7" s="97" t="e">
        <f>IF(ISBLANK('Manual Input'!F10),T6,'Manual Input'!F10)</f>
        <v>#N/A</v>
      </c>
      <c r="U7" s="98" t="e">
        <f>SUM(R7:T7)</f>
        <v>#N/A</v>
      </c>
      <c r="V7" s="96" t="e">
        <f>IF(ISBLANK('Manual Input'!G8),V6,'Manual Input'!G8)</f>
        <v>#N/A</v>
      </c>
      <c r="W7" s="97" t="e">
        <f>IF(ISBLANK('Manual Input'!G9),W6,'Manual Input'!G9)</f>
        <v>#N/A</v>
      </c>
      <c r="X7" s="97" t="e">
        <f>IF(ISBLANK('Manual Input'!G10),X6,'Manual Input'!G10)</f>
        <v>#N/A</v>
      </c>
      <c r="Y7" s="98" t="e">
        <f>SUM(V7:X7)</f>
        <v>#N/A</v>
      </c>
      <c r="Z7" s="96" t="e">
        <f>IF(ISBLANK('Manual Input'!H8),Z6,'Manual Input'!H8)</f>
        <v>#N/A</v>
      </c>
      <c r="AA7" s="97" t="e">
        <f>IF(ISBLANK('Manual Input'!H9),AA6,'Manual Input'!H9)</f>
        <v>#N/A</v>
      </c>
      <c r="AB7" s="97" t="e">
        <f>IF(ISBLANK('Manual Input'!H10),AB6,'Manual Input'!H10)</f>
        <v>#N/A</v>
      </c>
      <c r="AC7" s="98" t="e">
        <f>SUM(Z7:AB7)</f>
        <v>#N/A</v>
      </c>
      <c r="AD7" s="96" t="e">
        <f>IF(ISBLANK('Manual Input'!I8),AD6,'Manual Input'!I8)</f>
        <v>#N/A</v>
      </c>
      <c r="AE7" s="97" t="e">
        <f>IF(ISBLANK('Manual Input'!I9),AE6,'Manual Input'!I9)</f>
        <v>#N/A</v>
      </c>
      <c r="AF7" s="97" t="e">
        <f>IF(ISBLANK('Manual Input'!I10),AF6,'Manual Input'!I10)</f>
        <v>#N/A</v>
      </c>
      <c r="AG7" s="98" t="e">
        <f>SUM(AD7:AF7)</f>
        <v>#N/A</v>
      </c>
      <c r="AH7" s="96" t="e">
        <f>IF(ISBLANK('Manual Input'!J8),AH6,'Manual Input'!J8)</f>
        <v>#N/A</v>
      </c>
      <c r="AI7" s="97" t="e">
        <f>IF(ISBLANK('Manual Input'!J9),AI6,'Manual Input'!J9)</f>
        <v>#N/A</v>
      </c>
      <c r="AJ7" s="97" t="e">
        <f>IF(ISBLANK('Manual Input'!J10),AJ6,'Manual Input'!J10)</f>
        <v>#N/A</v>
      </c>
      <c r="AK7" s="98" t="e">
        <f>SUM(AH7:AJ7)</f>
        <v>#N/A</v>
      </c>
      <c r="AL7" s="96" t="e">
        <f>IF(ISBLANK('Manual Input'!K8),AL6,'Manual Input'!K8)</f>
        <v>#N/A</v>
      </c>
      <c r="AM7" s="97" t="e">
        <f>IF(ISBLANK('Manual Input'!K9),AM6,'Manual Input'!K9)</f>
        <v>#N/A</v>
      </c>
      <c r="AN7" s="97" t="e">
        <f>IF(ISBLANK('Manual Input'!K10),AN6,'Manual Input'!K10)</f>
        <v>#N/A</v>
      </c>
      <c r="AO7" s="98" t="e">
        <f>SUM(AL7:AN7)</f>
        <v>#N/A</v>
      </c>
    </row>
    <row r="8" spans="1:41" x14ac:dyDescent="0.25">
      <c r="A8" t="s">
        <v>42</v>
      </c>
      <c r="B8" s="96"/>
      <c r="C8" s="97" t="e">
        <f>-LOOKUP(2,1/(TDD!$A$31:$A$44&lt;='Summary Sheet'!$C$3)/(TDD!$B$31:$B$44&gt;='Summary Sheet'!$C$3),TDD!$E$31:$E$44)</f>
        <v>#N/A</v>
      </c>
      <c r="D8" s="97" t="e">
        <f>-LOOKUP(2,1/(TDD!$A$31:$A$44&lt;='Summary Sheet'!$C$3)/(TDD!$B$31:$B$44&gt;='Summary Sheet'!$C$3),TDD!$G$31:$G$44)</f>
        <v>#N/A</v>
      </c>
      <c r="E8" s="98" t="e">
        <f t="shared" si="0"/>
        <v>#N/A</v>
      </c>
      <c r="F8" s="96"/>
      <c r="G8" s="97" t="e">
        <f>-LOOKUP(2,1/(TDD!$A$31:$A$44&lt;='Summary Sheet'!$D$3)/(TDD!$B$31:$B$44&gt;='Summary Sheet'!$D$3),TDD!$E$31:$E$44)</f>
        <v>#N/A</v>
      </c>
      <c r="H8" s="97" t="e">
        <f>-LOOKUP(2,1/(TDD!$A$31:$A$44&lt;='Summary Sheet'!$D$3)/(TDD!$B$31:$B$44&gt;='Summary Sheet'!$D$3),TDD!$G$31:$G$44)</f>
        <v>#N/A</v>
      </c>
      <c r="I8" s="98" t="e">
        <f t="shared" si="1"/>
        <v>#N/A</v>
      </c>
      <c r="J8" s="54"/>
      <c r="K8" s="97" t="e">
        <f>-LOOKUP(2,1/(TDD!$A$31:$A$44&lt;='Summary Sheet'!$E$3)/(TDD!$B$31:$B$44&gt;='Summary Sheet'!$E$3),TDD!$E$31:$E$44)</f>
        <v>#N/A</v>
      </c>
      <c r="L8" s="97" t="e">
        <f>-LOOKUP(2,1/(TDD!$A$31:$A$44&lt;='Summary Sheet'!$E$3)/(TDD!$B$31:$B$44&gt;='Summary Sheet'!$E$3),TDD!$G$31:$G$44)</f>
        <v>#N/A</v>
      </c>
      <c r="M8" s="98" t="e">
        <f>SUM(J8:L8)</f>
        <v>#N/A</v>
      </c>
      <c r="N8" s="54"/>
      <c r="O8" s="97" t="e">
        <f>-LOOKUP(2,1/(TDD!$A$31:$A$44&lt;='Summary Sheet'!$F$3)/(TDD!$B$31:$B$44&gt;='Summary Sheet'!$F$3),TDD!$E$31:$E$44)</f>
        <v>#N/A</v>
      </c>
      <c r="P8" s="97" t="e">
        <f>-LOOKUP(2,1/(TDD!$A$31:$A$44&lt;='Summary Sheet'!$F$3)/(TDD!$B$31:$B$44&gt;='Summary Sheet'!$F$3),TDD!$G$31:$G$44)</f>
        <v>#N/A</v>
      </c>
      <c r="Q8" s="98" t="e">
        <f>SUM(N8:P8)</f>
        <v>#N/A</v>
      </c>
      <c r="R8" s="54"/>
      <c r="S8" s="97" t="e">
        <f>-LOOKUP(2,1/(TDD!$A$31:$A$44&lt;='Summary Sheet'!$G$3)/(TDD!$B$31:$B$44&gt;='Summary Sheet'!$G$3),TDD!$E$31:$E$44)</f>
        <v>#N/A</v>
      </c>
      <c r="T8" s="97" t="e">
        <f>-LOOKUP(2,1/(TDD!$A$31:$A$44&lt;='Summary Sheet'!$G$3)/(TDD!$B$31:$B$44&gt;='Summary Sheet'!$G$3),TDD!$G$31:$G$44)</f>
        <v>#N/A</v>
      </c>
      <c r="U8" s="98" t="e">
        <f>SUM(R8:T8)</f>
        <v>#N/A</v>
      </c>
      <c r="V8" s="54"/>
      <c r="W8" s="97" t="e">
        <f>-LOOKUP(2,1/(TDD!$A$31:$A$44&lt;='Summary Sheet'!$H$3)/(TDD!$B$31:$B$44&gt;='Summary Sheet'!$H$3),TDD!$E$31:$E$44)</f>
        <v>#N/A</v>
      </c>
      <c r="X8" s="97" t="e">
        <f>-LOOKUP(2,1/(TDD!$A$31:$A$44&lt;='Summary Sheet'!$H$3)/(TDD!$B$31:$B$44&gt;='Summary Sheet'!$H$3),TDD!$G$31:$G$44)</f>
        <v>#N/A</v>
      </c>
      <c r="Y8" s="98" t="e">
        <f>SUM(V8:X8)</f>
        <v>#N/A</v>
      </c>
      <c r="Z8" s="54"/>
      <c r="AA8" s="97" t="e">
        <f>-LOOKUP(2,1/(TDD!$A$31:$A$44&lt;='Summary Sheet'!$I$3)/(TDD!$B$31:$B$44&gt;='Summary Sheet'!$I$3),TDD!$E$31:$E$44)</f>
        <v>#N/A</v>
      </c>
      <c r="AB8" s="97" t="e">
        <f>-LOOKUP(2,1/(TDD!$A$31:$A$44&lt;='Summary Sheet'!$I$3)/(TDD!$B$31:$B$44&gt;='Summary Sheet'!$I$3),TDD!$G$31:$G$44)</f>
        <v>#N/A</v>
      </c>
      <c r="AC8" s="98" t="e">
        <f>SUM(Z8:AB8)</f>
        <v>#N/A</v>
      </c>
      <c r="AD8" s="54"/>
      <c r="AE8" s="97" t="e">
        <f>-LOOKUP(2,1/(TDD!$A$31:$A$44&lt;='Summary Sheet'!$J$3)/(TDD!$B$31:$B$44&gt;='Summary Sheet'!$J$3),TDD!$E$31:$E$44)</f>
        <v>#N/A</v>
      </c>
      <c r="AF8" s="97" t="e">
        <f>-LOOKUP(2,1/(TDD!$A$31:$A$44&lt;='Summary Sheet'!$J$3)/(TDD!$B$31:$B$44&gt;='Summary Sheet'!$J$3),TDD!$G$31:$G$44)</f>
        <v>#N/A</v>
      </c>
      <c r="AG8" s="98" t="e">
        <f>SUM(AD8:AF8)</f>
        <v>#N/A</v>
      </c>
      <c r="AH8" s="54"/>
      <c r="AI8" s="97" t="e">
        <f>-LOOKUP(2,1/(TDD!$A$31:$A$44&lt;='Summary Sheet'!$K$3)/(TDD!$B$31:$B$44&gt;='Summary Sheet'!$K$3),TDD!$E$31:$E$44)</f>
        <v>#N/A</v>
      </c>
      <c r="AJ8" s="97" t="e">
        <f>-LOOKUP(2,1/(TDD!$A$31:$A$44&lt;='Summary Sheet'!$K$3)/(TDD!$B$31:$B$44&gt;='Summary Sheet'!$K$3),TDD!$G$31:$G$44)</f>
        <v>#N/A</v>
      </c>
      <c r="AK8" s="98" t="e">
        <f>SUM(AH8:AJ8)</f>
        <v>#N/A</v>
      </c>
      <c r="AL8" s="54"/>
      <c r="AM8" s="97" t="e">
        <f>-LOOKUP(2,1/(TDD!$A$31:$A$44&lt;='Summary Sheet'!$L$3)/(TDD!$B$31:$B$44&gt;='Summary Sheet'!$L$3),TDD!$E$31:$E$44)</f>
        <v>#N/A</v>
      </c>
      <c r="AN8" s="97" t="e">
        <f>-LOOKUP(2,1/(TDD!$A$31:$A$44&lt;='Summary Sheet'!$L$3)/(TDD!$B$31:$B$44&gt;='Summary Sheet'!$L$3),TDD!$G$31:$G$44)</f>
        <v>#N/A</v>
      </c>
      <c r="AO8" s="98" t="e">
        <f>SUM(AL8:AN8)</f>
        <v>#N/A</v>
      </c>
    </row>
    <row r="9" spans="1:41" x14ac:dyDescent="0.25">
      <c r="A9" t="s">
        <v>45</v>
      </c>
      <c r="B9" s="96" t="e">
        <f>SUM(B7:B8)</f>
        <v>#N/A</v>
      </c>
      <c r="C9" s="97" t="e">
        <f t="shared" ref="C9:D9" si="2">SUM(C7:C8)</f>
        <v>#N/A</v>
      </c>
      <c r="D9" s="97" t="e">
        <f t="shared" si="2"/>
        <v>#N/A</v>
      </c>
      <c r="E9" s="98" t="e">
        <f t="shared" si="0"/>
        <v>#N/A</v>
      </c>
      <c r="F9" s="96" t="e">
        <f>SUM(F7:F8)</f>
        <v>#N/A</v>
      </c>
      <c r="G9" s="97" t="e">
        <f t="shared" ref="G9:H9" si="3">SUM(G7:G8)</f>
        <v>#N/A</v>
      </c>
      <c r="H9" s="97" t="e">
        <f t="shared" si="3"/>
        <v>#N/A</v>
      </c>
      <c r="I9" s="98" t="e">
        <f t="shared" si="1"/>
        <v>#N/A</v>
      </c>
      <c r="J9" s="96" t="e">
        <f>SUM(J7:J8)</f>
        <v>#N/A</v>
      </c>
      <c r="K9" s="97" t="e">
        <f t="shared" ref="K9:L9" si="4">SUM(K7:K8)</f>
        <v>#N/A</v>
      </c>
      <c r="L9" s="97" t="e">
        <f t="shared" si="4"/>
        <v>#N/A</v>
      </c>
      <c r="M9" s="98" t="e">
        <f>SUM(J9:L9)</f>
        <v>#N/A</v>
      </c>
      <c r="N9" s="96" t="e">
        <f>SUM(N7:N8)</f>
        <v>#N/A</v>
      </c>
      <c r="O9" s="97" t="e">
        <f t="shared" ref="O9:P9" si="5">SUM(O7:O8)</f>
        <v>#N/A</v>
      </c>
      <c r="P9" s="97" t="e">
        <f t="shared" si="5"/>
        <v>#N/A</v>
      </c>
      <c r="Q9" s="98" t="e">
        <f>SUM(N9:P9)</f>
        <v>#N/A</v>
      </c>
      <c r="R9" s="96" t="e">
        <f>SUM(R7:R8)</f>
        <v>#N/A</v>
      </c>
      <c r="S9" s="97" t="e">
        <f t="shared" ref="S9:T9" si="6">SUM(S7:S8)</f>
        <v>#N/A</v>
      </c>
      <c r="T9" s="97" t="e">
        <f t="shared" si="6"/>
        <v>#N/A</v>
      </c>
      <c r="U9" s="98" t="e">
        <f>SUM(R9:T9)</f>
        <v>#N/A</v>
      </c>
      <c r="V9" s="96" t="e">
        <f>SUM(V7:V8)</f>
        <v>#N/A</v>
      </c>
      <c r="W9" s="97" t="e">
        <f t="shared" ref="W9:X9" si="7">SUM(W7:W8)</f>
        <v>#N/A</v>
      </c>
      <c r="X9" s="97" t="e">
        <f t="shared" si="7"/>
        <v>#N/A</v>
      </c>
      <c r="Y9" s="98" t="e">
        <f>SUM(V9:X9)</f>
        <v>#N/A</v>
      </c>
      <c r="Z9" s="96" t="e">
        <f>SUM(Z7:Z8)</f>
        <v>#N/A</v>
      </c>
      <c r="AA9" s="97" t="e">
        <f t="shared" ref="AA9:AB9" si="8">SUM(AA7:AA8)</f>
        <v>#N/A</v>
      </c>
      <c r="AB9" s="97" t="e">
        <f t="shared" si="8"/>
        <v>#N/A</v>
      </c>
      <c r="AC9" s="98" t="e">
        <f>SUM(Z9:AB9)</f>
        <v>#N/A</v>
      </c>
      <c r="AD9" s="96" t="e">
        <f>SUM(AD7:AD8)</f>
        <v>#N/A</v>
      </c>
      <c r="AE9" s="97" t="e">
        <f t="shared" ref="AE9:AF9" si="9">SUM(AE7:AE8)</f>
        <v>#N/A</v>
      </c>
      <c r="AF9" s="97" t="e">
        <f t="shared" si="9"/>
        <v>#N/A</v>
      </c>
      <c r="AG9" s="98" t="e">
        <f>SUM(AD9:AF9)</f>
        <v>#N/A</v>
      </c>
      <c r="AH9" s="96" t="e">
        <f>SUM(AH7:AH8)</f>
        <v>#N/A</v>
      </c>
      <c r="AI9" s="97" t="e">
        <f t="shared" ref="AI9:AJ9" si="10">SUM(AI7:AI8)</f>
        <v>#N/A</v>
      </c>
      <c r="AJ9" s="97" t="e">
        <f t="shared" si="10"/>
        <v>#N/A</v>
      </c>
      <c r="AK9" s="98" t="e">
        <f>SUM(AH9:AJ9)</f>
        <v>#N/A</v>
      </c>
      <c r="AL9" s="96" t="e">
        <f>SUM(AL7:AL8)</f>
        <v>#N/A</v>
      </c>
      <c r="AM9" s="97" t="e">
        <f t="shared" ref="AM9:AN9" si="11">SUM(AM7:AM8)</f>
        <v>#N/A</v>
      </c>
      <c r="AN9" s="97" t="e">
        <f t="shared" si="11"/>
        <v>#N/A</v>
      </c>
      <c r="AO9" s="98" t="e">
        <f>SUM(AL9:AN9)</f>
        <v>#N/A</v>
      </c>
    </row>
    <row r="10" spans="1:41" x14ac:dyDescent="0.25">
      <c r="A10" t="s">
        <v>46</v>
      </c>
      <c r="B10" s="100" t="e">
        <f>B9</f>
        <v>#N/A</v>
      </c>
      <c r="C10" s="95" t="e">
        <f>C9*0.59</f>
        <v>#N/A</v>
      </c>
      <c r="D10" s="95" t="e">
        <f>D9</f>
        <v>#N/A</v>
      </c>
      <c r="E10" s="101" t="e">
        <f t="shared" si="0"/>
        <v>#N/A</v>
      </c>
      <c r="F10" s="100" t="e">
        <f>F9</f>
        <v>#N/A</v>
      </c>
      <c r="G10" s="95" t="e">
        <f>G9*0.59</f>
        <v>#N/A</v>
      </c>
      <c r="H10" s="95" t="e">
        <f>H9</f>
        <v>#N/A</v>
      </c>
      <c r="I10" s="101" t="e">
        <f t="shared" si="1"/>
        <v>#N/A</v>
      </c>
      <c r="J10" s="100" t="e">
        <f>J9</f>
        <v>#N/A</v>
      </c>
      <c r="K10" s="95" t="e">
        <f>K9*0.59</f>
        <v>#N/A</v>
      </c>
      <c r="L10" s="95" t="e">
        <f>L9</f>
        <v>#N/A</v>
      </c>
      <c r="M10" s="101" t="e">
        <f>SUM(J10:L10)</f>
        <v>#N/A</v>
      </c>
      <c r="N10" s="100" t="e">
        <f>N9</f>
        <v>#N/A</v>
      </c>
      <c r="O10" s="95" t="e">
        <f>O9*0.59</f>
        <v>#N/A</v>
      </c>
      <c r="P10" s="95" t="e">
        <f>P9</f>
        <v>#N/A</v>
      </c>
      <c r="Q10" s="101" t="e">
        <f>SUM(N10:P10)</f>
        <v>#N/A</v>
      </c>
      <c r="R10" s="100" t="e">
        <f>R9</f>
        <v>#N/A</v>
      </c>
      <c r="S10" s="95" t="e">
        <f>S9*0.59</f>
        <v>#N/A</v>
      </c>
      <c r="T10" s="95" t="e">
        <f>T9</f>
        <v>#N/A</v>
      </c>
      <c r="U10" s="101" t="e">
        <f>SUM(R10:T10)</f>
        <v>#N/A</v>
      </c>
      <c r="V10" s="100" t="e">
        <f>V9</f>
        <v>#N/A</v>
      </c>
      <c r="W10" s="95" t="e">
        <f>W9*0.59</f>
        <v>#N/A</v>
      </c>
      <c r="X10" s="95" t="e">
        <f>X9</f>
        <v>#N/A</v>
      </c>
      <c r="Y10" s="101" t="e">
        <f>SUM(V10:X10)</f>
        <v>#N/A</v>
      </c>
      <c r="Z10" s="100" t="e">
        <f>Z9</f>
        <v>#N/A</v>
      </c>
      <c r="AA10" s="95" t="e">
        <f>AA9*0.59</f>
        <v>#N/A</v>
      </c>
      <c r="AB10" s="95" t="e">
        <f>AB9</f>
        <v>#N/A</v>
      </c>
      <c r="AC10" s="101" t="e">
        <f>SUM(Z10:AB10)</f>
        <v>#N/A</v>
      </c>
      <c r="AD10" s="100" t="e">
        <f>AD9</f>
        <v>#N/A</v>
      </c>
      <c r="AE10" s="95" t="e">
        <f>AE9*0.59</f>
        <v>#N/A</v>
      </c>
      <c r="AF10" s="95" t="e">
        <f>AF9</f>
        <v>#N/A</v>
      </c>
      <c r="AG10" s="101" t="e">
        <f>SUM(AD10:AF10)</f>
        <v>#N/A</v>
      </c>
      <c r="AH10" s="100" t="e">
        <f>AH9</f>
        <v>#N/A</v>
      </c>
      <c r="AI10" s="95" t="e">
        <f>AI9*0.59</f>
        <v>#N/A</v>
      </c>
      <c r="AJ10" s="95" t="e">
        <f>AJ9</f>
        <v>#N/A</v>
      </c>
      <c r="AK10" s="101" t="e">
        <f>SUM(AH10:AJ10)</f>
        <v>#N/A</v>
      </c>
      <c r="AL10" s="100" t="e">
        <f>AL9</f>
        <v>#N/A</v>
      </c>
      <c r="AM10" s="95" t="e">
        <f>AM9*0.59</f>
        <v>#N/A</v>
      </c>
      <c r="AN10" s="95" t="e">
        <f>AN9</f>
        <v>#N/A</v>
      </c>
      <c r="AO10" s="101" t="e">
        <f>SUM(AL10:AN10)</f>
        <v>#N/A</v>
      </c>
    </row>
  </sheetData>
  <sheetProtection password="B45D" sheet="1" objects="1" scenarios="1" selectLockedCells="1" selectUnlockedCells="1"/>
  <mergeCells count="11">
    <mergeCell ref="AL3:AO3"/>
    <mergeCell ref="R3:U3"/>
    <mergeCell ref="V3:Y3"/>
    <mergeCell ref="Z3:AC3"/>
    <mergeCell ref="AD3:AG3"/>
    <mergeCell ref="AH3:AK3"/>
    <mergeCell ref="B3:E3"/>
    <mergeCell ref="F3:I3"/>
    <mergeCell ref="J3:M3"/>
    <mergeCell ref="A1:M1"/>
    <mergeCell ref="N3:Q3"/>
  </mergeCells>
  <pageMargins left="0.7" right="0.7" top="0.75" bottom="0.75" header="0.3" footer="0.3"/>
  <ignoredErrors>
    <ignoredError sqref="G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0.249977111117893"/>
  </sheetPr>
  <dimension ref="A1:L17"/>
  <sheetViews>
    <sheetView workbookViewId="0">
      <selection sqref="A1:K1"/>
    </sheetView>
  </sheetViews>
  <sheetFormatPr defaultColWidth="0" defaultRowHeight="15" zeroHeight="1" x14ac:dyDescent="0.25"/>
  <cols>
    <col min="1" max="1" width="23" style="142" customWidth="1"/>
    <col min="2" max="11" width="12" style="142" bestFit="1" customWidth="1"/>
    <col min="12" max="12" width="12.5703125" style="142" bestFit="1" customWidth="1"/>
    <col min="13" max="16384" width="9.140625" style="142" hidden="1"/>
  </cols>
  <sheetData>
    <row r="1" spans="1:12" customFormat="1" x14ac:dyDescent="0.25">
      <c r="A1" s="295" t="s">
        <v>39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88"/>
    </row>
    <row r="2" spans="1:12" s="22" customFormat="1" x14ac:dyDescent="0.25">
      <c r="A2" s="140" t="s">
        <v>17</v>
      </c>
      <c r="B2" s="140">
        <v>1</v>
      </c>
      <c r="C2" s="140">
        <v>2</v>
      </c>
      <c r="D2" s="140">
        <v>3</v>
      </c>
      <c r="E2" s="140">
        <v>4</v>
      </c>
      <c r="F2" s="140">
        <v>5</v>
      </c>
      <c r="G2" s="140">
        <v>6</v>
      </c>
      <c r="H2" s="140">
        <v>7</v>
      </c>
      <c r="I2" s="140">
        <v>8</v>
      </c>
      <c r="J2" s="140">
        <v>9</v>
      </c>
      <c r="K2" s="140">
        <v>10</v>
      </c>
      <c r="L2" s="140" t="s">
        <v>0</v>
      </c>
    </row>
    <row r="3" spans="1:12" s="22" customFormat="1" x14ac:dyDescent="0.25">
      <c r="A3" s="140" t="s">
        <v>18</v>
      </c>
      <c r="B3" s="89">
        <f>'Summary Sheet'!C4</f>
        <v>0</v>
      </c>
      <c r="C3" s="89">
        <f>'Summary Sheet'!D4</f>
        <v>0</v>
      </c>
      <c r="D3" s="89">
        <f>'Summary Sheet'!E4</f>
        <v>0</v>
      </c>
      <c r="E3" s="89">
        <f>'Summary Sheet'!F4</f>
        <v>0</v>
      </c>
      <c r="F3" s="89">
        <f>'Summary Sheet'!G4</f>
        <v>0</v>
      </c>
      <c r="G3" s="89">
        <f>'Summary Sheet'!H4</f>
        <v>0</v>
      </c>
      <c r="H3" s="89">
        <f>'Summary Sheet'!I4</f>
        <v>0</v>
      </c>
      <c r="I3" s="89">
        <f>'Summary Sheet'!J4</f>
        <v>0</v>
      </c>
      <c r="J3" s="89">
        <f>'Summary Sheet'!K4</f>
        <v>0</v>
      </c>
      <c r="K3" s="89">
        <f>'Summary Sheet'!L4</f>
        <v>0</v>
      </c>
      <c r="L3" s="161">
        <f>SUM(B3:K3)</f>
        <v>0</v>
      </c>
    </row>
    <row r="4" spans="1:12" s="22" customFormat="1" x14ac:dyDescent="0.25">
      <c r="A4" s="140"/>
      <c r="B4" s="90" t="e">
        <f t="shared" ref="B4:K4" si="0">B3/$L$3</f>
        <v>#DIV/0!</v>
      </c>
      <c r="C4" s="90" t="e">
        <f t="shared" si="0"/>
        <v>#DIV/0!</v>
      </c>
      <c r="D4" s="90" t="e">
        <f t="shared" si="0"/>
        <v>#DIV/0!</v>
      </c>
      <c r="E4" s="90" t="e">
        <f t="shared" si="0"/>
        <v>#DIV/0!</v>
      </c>
      <c r="F4" s="90" t="e">
        <f t="shared" si="0"/>
        <v>#DIV/0!</v>
      </c>
      <c r="G4" s="90" t="e">
        <f t="shared" si="0"/>
        <v>#DIV/0!</v>
      </c>
      <c r="H4" s="90" t="e">
        <f t="shared" si="0"/>
        <v>#DIV/0!</v>
      </c>
      <c r="I4" s="90" t="e">
        <f t="shared" si="0"/>
        <v>#DIV/0!</v>
      </c>
      <c r="J4" s="90" t="e">
        <f t="shared" si="0"/>
        <v>#DIV/0!</v>
      </c>
      <c r="K4" s="90" t="e">
        <f t="shared" si="0"/>
        <v>#DIV/0!</v>
      </c>
      <c r="L4" s="91" t="e">
        <f>SUM(B4:K4)</f>
        <v>#DIV/0!</v>
      </c>
    </row>
    <row r="5" spans="1:12" s="22" customFormat="1" x14ac:dyDescent="0.25">
      <c r="A5" s="140" t="s">
        <v>40</v>
      </c>
      <c r="B5" s="92">
        <f>B3*'Defined Values'!$B$9</f>
        <v>0</v>
      </c>
      <c r="C5" s="92">
        <f>C3*'Defined Values'!$B$9</f>
        <v>0</v>
      </c>
      <c r="D5" s="92">
        <f>D3*'Defined Values'!$B$9</f>
        <v>0</v>
      </c>
      <c r="E5" s="92">
        <f>E3*'Defined Values'!$B$9</f>
        <v>0</v>
      </c>
      <c r="F5" s="92">
        <f>F3*'Defined Values'!$B$9</f>
        <v>0</v>
      </c>
      <c r="G5" s="92">
        <f>G3*'Defined Values'!$B$9</f>
        <v>0</v>
      </c>
      <c r="H5" s="92">
        <f>H3*'Defined Values'!$B$9</f>
        <v>0</v>
      </c>
      <c r="I5" s="92">
        <f>I3*'Defined Values'!$B$9</f>
        <v>0</v>
      </c>
      <c r="J5" s="92">
        <f>J3*'Defined Values'!$B$9</f>
        <v>0</v>
      </c>
      <c r="K5" s="92">
        <f>K3*'Defined Values'!$B$9</f>
        <v>0</v>
      </c>
      <c r="L5" s="92">
        <f>SUM(B5:K5)</f>
        <v>0</v>
      </c>
    </row>
    <row r="6" spans="1:12" s="22" customFormat="1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88"/>
    </row>
    <row r="7" spans="1:12" s="22" customFormat="1" x14ac:dyDescent="0.25">
      <c r="A7" s="140" t="s">
        <v>21</v>
      </c>
      <c r="B7" s="145">
        <f>L5-B8</f>
        <v>0</v>
      </c>
      <c r="C7" s="145"/>
      <c r="D7" s="145"/>
      <c r="E7" s="145"/>
      <c r="F7" s="145"/>
      <c r="G7" s="145"/>
      <c r="H7" s="145"/>
      <c r="I7" s="145"/>
      <c r="J7" s="145"/>
      <c r="K7" s="145"/>
      <c r="L7" s="88"/>
    </row>
    <row r="8" spans="1:12" s="22" customFormat="1" x14ac:dyDescent="0.25">
      <c r="A8" s="140" t="s">
        <v>20</v>
      </c>
      <c r="B8" s="145">
        <f>MOD(L5,1)</f>
        <v>0</v>
      </c>
      <c r="C8" s="145"/>
      <c r="D8" s="145"/>
      <c r="E8" s="145"/>
      <c r="F8" s="145"/>
      <c r="G8" s="145"/>
      <c r="H8" s="145"/>
      <c r="I8" s="145"/>
      <c r="J8" s="145"/>
      <c r="K8" s="145"/>
      <c r="L8" s="141"/>
    </row>
    <row r="9" spans="1:12" s="22" customFormat="1" x14ac:dyDescent="0.25">
      <c r="A9" s="140" t="s">
        <v>19</v>
      </c>
      <c r="B9" s="146">
        <f>IF('Summary Sheet'!M4&gt;'Defined Values'!B30,B7*20,0)</f>
        <v>0</v>
      </c>
      <c r="C9" s="146"/>
      <c r="D9" s="146"/>
      <c r="E9" s="146"/>
      <c r="F9" s="146"/>
      <c r="G9" s="146"/>
      <c r="H9" s="146"/>
      <c r="I9" s="146"/>
      <c r="J9" s="146"/>
      <c r="K9" s="146"/>
      <c r="L9" s="88"/>
    </row>
    <row r="10" spans="1:12" s="22" customFormat="1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88"/>
    </row>
    <row r="11" spans="1:12" s="22" customFormat="1" x14ac:dyDescent="0.25">
      <c r="A11" s="140" t="s">
        <v>102</v>
      </c>
      <c r="B11" s="117" t="str">
        <f t="shared" ref="B11:K11" si="1">IFERROR(ROUNDDOWN(B4*$B$9,0),"-")</f>
        <v>-</v>
      </c>
      <c r="C11" s="117" t="str">
        <f t="shared" si="1"/>
        <v>-</v>
      </c>
      <c r="D11" s="117" t="str">
        <f t="shared" si="1"/>
        <v>-</v>
      </c>
      <c r="E11" s="117" t="str">
        <f t="shared" si="1"/>
        <v>-</v>
      </c>
      <c r="F11" s="117" t="str">
        <f t="shared" si="1"/>
        <v>-</v>
      </c>
      <c r="G11" s="117" t="str">
        <f t="shared" si="1"/>
        <v>-</v>
      </c>
      <c r="H11" s="117" t="str">
        <f t="shared" si="1"/>
        <v>-</v>
      </c>
      <c r="I11" s="117" t="str">
        <f t="shared" si="1"/>
        <v>-</v>
      </c>
      <c r="J11" s="117" t="str">
        <f t="shared" si="1"/>
        <v>-</v>
      </c>
      <c r="K11" s="117" t="str">
        <f t="shared" si="1"/>
        <v>-</v>
      </c>
      <c r="L11" s="117">
        <f>SUM(B11:K11)</f>
        <v>0</v>
      </c>
    </row>
    <row r="12" spans="1:12" s="22" customFormat="1" x14ac:dyDescent="0.25">
      <c r="A12" s="140" t="s">
        <v>103</v>
      </c>
      <c r="B12" s="116" t="str">
        <f>IFERROR(MOD(B4*$B$9,1),"-")</f>
        <v>-</v>
      </c>
      <c r="C12" s="116" t="str">
        <f t="shared" ref="C12:K12" si="2">IFERROR(MOD(C4*$B$9,1),"-")</f>
        <v>-</v>
      </c>
      <c r="D12" s="116" t="str">
        <f t="shared" si="2"/>
        <v>-</v>
      </c>
      <c r="E12" s="116" t="str">
        <f t="shared" si="2"/>
        <v>-</v>
      </c>
      <c r="F12" s="116" t="str">
        <f t="shared" si="2"/>
        <v>-</v>
      </c>
      <c r="G12" s="116" t="str">
        <f t="shared" si="2"/>
        <v>-</v>
      </c>
      <c r="H12" s="116" t="str">
        <f t="shared" si="2"/>
        <v>-</v>
      </c>
      <c r="I12" s="116" t="str">
        <f t="shared" si="2"/>
        <v>-</v>
      </c>
      <c r="J12" s="116" t="str">
        <f t="shared" si="2"/>
        <v>-</v>
      </c>
      <c r="K12" s="116" t="str">
        <f t="shared" si="2"/>
        <v>-</v>
      </c>
      <c r="L12" s="141">
        <f>SUM(B12:K12)</f>
        <v>0</v>
      </c>
    </row>
    <row r="13" spans="1:12" s="22" customFormat="1" ht="15.75" thickBot="1" x14ac:dyDescent="0.3">
      <c r="A13" s="140" t="s">
        <v>104</v>
      </c>
      <c r="B13" s="117" t="e">
        <f>RANK(B12,$B$12:$K$12,0)+COUNTIF($B$12:B12,B12)-1</f>
        <v>#VALUE!</v>
      </c>
      <c r="C13" s="117" t="e">
        <f>RANK(C12,$B$12:$K$12,0)+COUNTIF($B$12:C12,C12)-1</f>
        <v>#VALUE!</v>
      </c>
      <c r="D13" s="117" t="e">
        <f>RANK(D12,$B$12:$K$12,0)+COUNTIF($B$12:D12,D12)-1</f>
        <v>#VALUE!</v>
      </c>
      <c r="E13" s="117" t="e">
        <f>RANK(E12,$B$12:$K$12,0)+COUNTIF($B$12:E12,E12)-1</f>
        <v>#VALUE!</v>
      </c>
      <c r="F13" s="117" t="e">
        <f>RANK(F12,$B$12:$K$12,0)+COUNTIF($B$12:F12,F12)-1</f>
        <v>#VALUE!</v>
      </c>
      <c r="G13" s="117" t="e">
        <f>RANK(G12,$B$12:$K$12,0)+COUNTIF($B$12:G12,G12)-1</f>
        <v>#VALUE!</v>
      </c>
      <c r="H13" s="117" t="e">
        <f>RANK(H12,$B$12:$K$12,0)+COUNTIF($B$12:H12,H12)-1</f>
        <v>#VALUE!</v>
      </c>
      <c r="I13" s="117" t="e">
        <f>RANK(I12,$B$12:$K$12,0)+COUNTIF($B$12:I12,I12)-1</f>
        <v>#VALUE!</v>
      </c>
      <c r="J13" s="117" t="e">
        <f>RANK(J12,$B$12:$K$12,0)+COUNTIF($B$12:J12,J12)-1</f>
        <v>#VALUE!</v>
      </c>
      <c r="K13" s="117" t="e">
        <f>RANK(K12,$B$12:$K$12,0)+COUNTIF($B$12:K12,K12)-1</f>
        <v>#VALUE!</v>
      </c>
      <c r="L13" s="116"/>
    </row>
    <row r="14" spans="1:12" s="22" customFormat="1" x14ac:dyDescent="0.25">
      <c r="A14" s="155" t="s">
        <v>106</v>
      </c>
      <c r="B14" s="157" t="e">
        <f>IF((B13-0.000000001)&lt;=$L$12,B11+1,B11)</f>
        <v>#VALUE!</v>
      </c>
      <c r="C14" s="157" t="e">
        <f t="shared" ref="C14:K14" si="3">IF((C13-0.000000001)&lt;=$L$12,C11+1,C11)</f>
        <v>#VALUE!</v>
      </c>
      <c r="D14" s="157" t="e">
        <f t="shared" si="3"/>
        <v>#VALUE!</v>
      </c>
      <c r="E14" s="157" t="e">
        <f t="shared" si="3"/>
        <v>#VALUE!</v>
      </c>
      <c r="F14" s="157" t="e">
        <f t="shared" si="3"/>
        <v>#VALUE!</v>
      </c>
      <c r="G14" s="157" t="e">
        <f t="shared" si="3"/>
        <v>#VALUE!</v>
      </c>
      <c r="H14" s="157" t="e">
        <f t="shared" si="3"/>
        <v>#VALUE!</v>
      </c>
      <c r="I14" s="157" t="e">
        <f t="shared" si="3"/>
        <v>#VALUE!</v>
      </c>
      <c r="J14" s="157" t="e">
        <f t="shared" si="3"/>
        <v>#VALUE!</v>
      </c>
      <c r="K14" s="157" t="e">
        <f t="shared" si="3"/>
        <v>#VALUE!</v>
      </c>
      <c r="L14" s="158" t="e">
        <f>SUM(B14:K14)</f>
        <v>#VALUE!</v>
      </c>
    </row>
    <row r="15" spans="1:12" s="22" customFormat="1" ht="15.75" thickBot="1" x14ac:dyDescent="0.3">
      <c r="A15" s="156" t="s">
        <v>107</v>
      </c>
      <c r="B15" s="159" t="e">
        <f>B14-B16</f>
        <v>#VALUE!</v>
      </c>
      <c r="C15" s="159" t="e">
        <f t="shared" ref="C15:K15" si="4">C14-C16</f>
        <v>#VALUE!</v>
      </c>
      <c r="D15" s="159" t="e">
        <f t="shared" si="4"/>
        <v>#VALUE!</v>
      </c>
      <c r="E15" s="159" t="e">
        <f t="shared" si="4"/>
        <v>#VALUE!</v>
      </c>
      <c r="F15" s="159" t="e">
        <f t="shared" si="4"/>
        <v>#VALUE!</v>
      </c>
      <c r="G15" s="159" t="e">
        <f t="shared" si="4"/>
        <v>#VALUE!</v>
      </c>
      <c r="H15" s="159" t="e">
        <f t="shared" si="4"/>
        <v>#VALUE!</v>
      </c>
      <c r="I15" s="159" t="e">
        <f t="shared" si="4"/>
        <v>#VALUE!</v>
      </c>
      <c r="J15" s="159" t="e">
        <f t="shared" si="4"/>
        <v>#VALUE!</v>
      </c>
      <c r="K15" s="159" t="e">
        <f t="shared" si="4"/>
        <v>#VALUE!</v>
      </c>
      <c r="L15" s="160" t="e">
        <f>SUM(B15:K15)</f>
        <v>#VALUE!</v>
      </c>
    </row>
    <row r="16" spans="1:12" s="22" customFormat="1" ht="15.75" thickBot="1" x14ac:dyDescent="0.3">
      <c r="A16" s="147" t="s">
        <v>105</v>
      </c>
      <c r="B16" s="148">
        <f>IF('Summary Sheet'!C8="Yes",ROUND('Allocation of CDIs'!B14*'Defined Values'!$B$24,0),0)</f>
        <v>0</v>
      </c>
      <c r="C16" s="148">
        <f>IF('Summary Sheet'!D8="Yes",ROUND('Allocation of CDIs'!C14*'Defined Values'!$B$24,0),0)</f>
        <v>0</v>
      </c>
      <c r="D16" s="148">
        <f>IF('Summary Sheet'!E8="Yes",ROUND('Allocation of CDIs'!D14*'Defined Values'!$B$24,0),0)</f>
        <v>0</v>
      </c>
      <c r="E16" s="148">
        <f>IF('Summary Sheet'!F8="Yes",ROUND('Allocation of CDIs'!E14*'Defined Values'!$B$24,0),0)</f>
        <v>0</v>
      </c>
      <c r="F16" s="148">
        <f>IF('Summary Sheet'!G8="Yes",ROUND('Allocation of CDIs'!F14*'Defined Values'!$B$24,0),0)</f>
        <v>0</v>
      </c>
      <c r="G16" s="148">
        <f>IF('Summary Sheet'!H8="Yes",ROUND('Allocation of CDIs'!G14*'Defined Values'!$B$24,0),0)</f>
        <v>0</v>
      </c>
      <c r="H16" s="148">
        <f>IF('Summary Sheet'!I8="Yes",ROUND('Allocation of CDIs'!H14*'Defined Values'!$B$24,0),0)</f>
        <v>0</v>
      </c>
      <c r="I16" s="148">
        <f>IF('Summary Sheet'!J8="Yes",ROUND('Allocation of CDIs'!I14*'Defined Values'!$B$24,0),0)</f>
        <v>0</v>
      </c>
      <c r="J16" s="148">
        <f>IF('Summary Sheet'!K8="Yes",ROUND('Allocation of CDIs'!J14*'Defined Values'!$B$24,0),0)</f>
        <v>0</v>
      </c>
      <c r="K16" s="148">
        <f>IF('Summary Sheet'!L8="Yes",ROUND('Allocation of CDIs'!K14*'Defined Values'!$B$24,0),0)</f>
        <v>0</v>
      </c>
      <c r="L16" s="149">
        <f>SUM(A16:K16)</f>
        <v>0</v>
      </c>
    </row>
    <row r="17" spans="1:12" customFormat="1" x14ac:dyDescent="0.25">
      <c r="A17" s="93" t="s">
        <v>41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</sheetData>
  <sheetProtection password="B45D" sheet="1" objects="1" scenarios="1" selectLockedCells="1" selectUnlockedCells="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0.249977111117893"/>
  </sheetPr>
  <dimension ref="A1:N34"/>
  <sheetViews>
    <sheetView workbookViewId="0"/>
  </sheetViews>
  <sheetFormatPr defaultColWidth="0" defaultRowHeight="15" zeroHeight="1" x14ac:dyDescent="0.25"/>
  <cols>
    <col min="1" max="1" width="30" bestFit="1" customWidth="1"/>
    <col min="2" max="2" width="10.5703125" bestFit="1" customWidth="1"/>
    <col min="3" max="8" width="9.140625" customWidth="1"/>
    <col min="9" max="9" width="11.5703125" bestFit="1" customWidth="1"/>
    <col min="10" max="14" width="9.140625" customWidth="1"/>
    <col min="15" max="16384" width="9.140625" hidden="1"/>
  </cols>
  <sheetData>
    <row r="1" spans="1:14" x14ac:dyDescent="0.25">
      <c r="B1" t="s">
        <v>98</v>
      </c>
    </row>
    <row r="2" spans="1:14" s="22" customFormat="1" ht="15.75" thickBot="1" x14ac:dyDescent="0.3">
      <c r="A2" t="s">
        <v>65</v>
      </c>
      <c r="B2" s="120">
        <f>0.0677*20</f>
        <v>1.3539999999999999</v>
      </c>
      <c r="C2" s="142"/>
    </row>
    <row r="3" spans="1:14" s="22" customFormat="1" x14ac:dyDescent="0.25">
      <c r="A3" s="46" t="s">
        <v>35</v>
      </c>
      <c r="B3" s="13"/>
      <c r="C3" s="13"/>
      <c r="D3" s="13"/>
      <c r="E3" s="14"/>
      <c r="H3" s="122" t="s">
        <v>87</v>
      </c>
      <c r="I3" s="123"/>
      <c r="J3" s="123"/>
      <c r="K3" s="123"/>
      <c r="L3" s="123"/>
      <c r="M3" s="124"/>
    </row>
    <row r="4" spans="1:14" x14ac:dyDescent="0.25">
      <c r="A4" s="15" t="s">
        <v>86</v>
      </c>
      <c r="B4" s="43">
        <v>14.665900000000001</v>
      </c>
      <c r="C4" s="16"/>
      <c r="D4" s="16"/>
      <c r="E4" s="17"/>
      <c r="H4" s="125"/>
      <c r="I4" s="44"/>
      <c r="J4" s="44" t="s">
        <v>83</v>
      </c>
      <c r="K4" s="44" t="s">
        <v>84</v>
      </c>
      <c r="L4" s="44" t="s">
        <v>85</v>
      </c>
      <c r="M4" s="126" t="s">
        <v>0</v>
      </c>
    </row>
    <row r="5" spans="1:14" x14ac:dyDescent="0.25">
      <c r="A5" s="15"/>
      <c r="B5" s="2"/>
      <c r="C5" s="16"/>
      <c r="D5" s="16"/>
      <c r="E5" s="17"/>
      <c r="H5" s="125"/>
      <c r="I5" s="44"/>
      <c r="J5" s="44"/>
      <c r="K5" s="44"/>
      <c r="L5" s="44"/>
      <c r="M5" s="126"/>
    </row>
    <row r="6" spans="1:14" x14ac:dyDescent="0.25">
      <c r="A6" s="15" t="s">
        <v>6</v>
      </c>
      <c r="B6" s="43">
        <f>20*B4</f>
        <v>293.31799999999998</v>
      </c>
      <c r="C6" s="16"/>
      <c r="D6" s="16"/>
      <c r="E6" s="17"/>
      <c r="H6" s="125" t="s">
        <v>13</v>
      </c>
      <c r="I6" s="127">
        <f>B7</f>
        <v>6.3987000000000002E-3</v>
      </c>
      <c r="J6" s="119">
        <v>0</v>
      </c>
      <c r="K6" s="119">
        <f>B7/B9*C22</f>
        <v>1.7918718194686385</v>
      </c>
      <c r="L6" s="119">
        <v>0</v>
      </c>
      <c r="M6" s="128">
        <f>SUM(J6:L6)</f>
        <v>1.7918718194686385</v>
      </c>
      <c r="N6" s="143">
        <f>M6/$M$9</f>
        <v>0.20078910512954418</v>
      </c>
    </row>
    <row r="7" spans="1:14" s="22" customFormat="1" x14ac:dyDescent="0.25">
      <c r="A7" s="15" t="s">
        <v>80</v>
      </c>
      <c r="B7" s="43">
        <v>6.3987000000000002E-3</v>
      </c>
      <c r="C7" s="16"/>
      <c r="D7" s="16"/>
      <c r="E7" s="17"/>
      <c r="H7" s="125" t="s">
        <v>1</v>
      </c>
      <c r="I7" s="44">
        <f>B8</f>
        <v>1.20413E-2</v>
      </c>
      <c r="J7" s="119">
        <f>B13/B14</f>
        <v>0.54852855791999999</v>
      </c>
      <c r="K7" s="119">
        <f>B8/B9*C22</f>
        <v>3.372007773417681</v>
      </c>
      <c r="L7" s="119">
        <v>0</v>
      </c>
      <c r="M7" s="128">
        <f>SUM(J7:L7)</f>
        <v>3.9205363313376811</v>
      </c>
      <c r="N7" s="143">
        <f>M7/$M$9</f>
        <v>0.43931768614486927</v>
      </c>
    </row>
    <row r="8" spans="1:14" s="22" customFormat="1" x14ac:dyDescent="0.25">
      <c r="A8" s="15" t="s">
        <v>81</v>
      </c>
      <c r="B8" s="43">
        <v>1.20413E-2</v>
      </c>
      <c r="C8" s="16"/>
      <c r="D8" s="16"/>
      <c r="E8" s="17"/>
      <c r="H8" s="125" t="s">
        <v>4</v>
      </c>
      <c r="I8" s="44">
        <v>1.8440000000000002E-2</v>
      </c>
      <c r="J8" s="119">
        <f>B15-J7</f>
        <v>2.9668361620799999</v>
      </c>
      <c r="K8" s="119">
        <v>0</v>
      </c>
      <c r="L8" s="119">
        <f>C23</f>
        <v>0.24490432711367979</v>
      </c>
      <c r="M8" s="128">
        <f>SUM(J8:L8)</f>
        <v>3.2117404891936796</v>
      </c>
      <c r="N8" s="143">
        <f>M8/$M$9</f>
        <v>0.35989320872558667</v>
      </c>
    </row>
    <row r="9" spans="1:14" ht="15.75" thickBot="1" x14ac:dyDescent="0.3">
      <c r="A9" s="121" t="s">
        <v>7</v>
      </c>
      <c r="B9" s="43">
        <v>1.8440000000000002E-2</v>
      </c>
      <c r="C9" s="16"/>
      <c r="D9" s="16"/>
      <c r="E9" s="17"/>
      <c r="H9" s="129"/>
      <c r="I9" s="130" t="s">
        <v>0</v>
      </c>
      <c r="J9" s="131">
        <f>SUM(J5:J8)</f>
        <v>3.51536472</v>
      </c>
      <c r="K9" s="131">
        <f>SUM(K5:K8)</f>
        <v>5.1638795928863193</v>
      </c>
      <c r="L9" s="131">
        <f t="shared" ref="L9" si="0">SUM(L5:L8)</f>
        <v>0.24490432711367979</v>
      </c>
      <c r="M9" s="132">
        <f>SUM(J9:L9)</f>
        <v>8.9241486399999985</v>
      </c>
    </row>
    <row r="10" spans="1:14" ht="15.75" thickBot="1" x14ac:dyDescent="0.3">
      <c r="A10" s="121" t="s">
        <v>8</v>
      </c>
      <c r="B10" s="127">
        <f>B9*B6</f>
        <v>5.4087839200000003</v>
      </c>
      <c r="C10" s="16"/>
      <c r="D10" s="16"/>
      <c r="E10" s="17"/>
    </row>
    <row r="11" spans="1:14" x14ac:dyDescent="0.25">
      <c r="A11" s="121" t="s">
        <v>9</v>
      </c>
      <c r="B11" s="44">
        <v>2.67</v>
      </c>
      <c r="C11" s="16"/>
      <c r="D11" s="16"/>
      <c r="E11" s="17"/>
      <c r="H11" s="133" t="s">
        <v>88</v>
      </c>
      <c r="I11" s="124"/>
    </row>
    <row r="12" spans="1:14" s="22" customFormat="1" x14ac:dyDescent="0.25">
      <c r="A12" s="121" t="s">
        <v>96</v>
      </c>
      <c r="B12" s="44">
        <v>2.2533799999999999</v>
      </c>
      <c r="C12" s="16"/>
      <c r="D12" s="16"/>
      <c r="E12" s="17"/>
      <c r="H12" s="125"/>
      <c r="I12" s="126"/>
    </row>
    <row r="13" spans="1:14" s="22" customFormat="1" x14ac:dyDescent="0.25">
      <c r="A13" s="121" t="s">
        <v>97</v>
      </c>
      <c r="B13" s="44">
        <v>0.41661999999999999</v>
      </c>
      <c r="C13" s="16"/>
      <c r="D13" s="16"/>
      <c r="E13" s="17"/>
      <c r="H13" s="125"/>
      <c r="I13" s="126"/>
    </row>
    <row r="14" spans="1:14" x14ac:dyDescent="0.25">
      <c r="A14" s="121" t="s">
        <v>33</v>
      </c>
      <c r="B14" s="154">
        <f>1/(1.316616)</f>
        <v>0.75952289809633178</v>
      </c>
      <c r="C14" s="16"/>
      <c r="D14" s="16"/>
      <c r="E14" s="17"/>
      <c r="H14" s="125" t="s">
        <v>62</v>
      </c>
      <c r="I14" s="126"/>
    </row>
    <row r="15" spans="1:14" ht="15.75" thickBot="1" x14ac:dyDescent="0.3">
      <c r="A15" s="121" t="s">
        <v>10</v>
      </c>
      <c r="B15" s="44">
        <f>B11/B14</f>
        <v>3.51536472</v>
      </c>
      <c r="C15" s="16"/>
      <c r="D15" s="16"/>
      <c r="E15" s="17"/>
      <c r="H15" s="129" t="s">
        <v>63</v>
      </c>
      <c r="I15" s="134"/>
      <c r="L15" s="22"/>
    </row>
    <row r="16" spans="1:14" x14ac:dyDescent="0.25">
      <c r="A16" s="15" t="s">
        <v>5</v>
      </c>
      <c r="B16" s="43">
        <f>B15+B10</f>
        <v>8.9241486400000003</v>
      </c>
      <c r="C16" s="16"/>
      <c r="D16" s="16"/>
      <c r="E16" s="17"/>
    </row>
    <row r="17" spans="1:13" x14ac:dyDescent="0.25">
      <c r="A17" s="18"/>
      <c r="B17" s="16" t="s">
        <v>13</v>
      </c>
      <c r="C17" s="16" t="s">
        <v>1</v>
      </c>
      <c r="D17" s="16" t="s">
        <v>4</v>
      </c>
      <c r="E17" s="17"/>
      <c r="H17" t="s">
        <v>113</v>
      </c>
    </row>
    <row r="18" spans="1:13" x14ac:dyDescent="0.25">
      <c r="A18" s="18" t="s">
        <v>58</v>
      </c>
      <c r="B18" s="119">
        <f>M6</f>
        <v>1.7918718194686385</v>
      </c>
      <c r="C18" s="119">
        <f>M7</f>
        <v>3.9205363313376811</v>
      </c>
      <c r="D18" s="119">
        <f>M8</f>
        <v>3.2117404891936796</v>
      </c>
      <c r="E18" s="17"/>
      <c r="H18" s="44" t="s">
        <v>114</v>
      </c>
      <c r="I18" s="181">
        <v>38184</v>
      </c>
      <c r="J18" s="69"/>
      <c r="K18" s="69"/>
    </row>
    <row r="19" spans="1:13" s="22" customFormat="1" x14ac:dyDescent="0.25">
      <c r="A19" s="18"/>
      <c r="B19" s="68"/>
      <c r="C19" s="68"/>
      <c r="D19" s="68"/>
      <c r="E19" s="17"/>
      <c r="H19" s="44" t="s">
        <v>115</v>
      </c>
      <c r="I19" s="181">
        <v>43258</v>
      </c>
      <c r="J19" s="69"/>
      <c r="K19" s="170"/>
      <c r="L19" s="69"/>
      <c r="M19" s="69"/>
    </row>
    <row r="20" spans="1:13" s="22" customFormat="1" x14ac:dyDescent="0.25">
      <c r="A20" s="18"/>
      <c r="B20" s="79"/>
      <c r="C20" s="16"/>
      <c r="D20" s="16"/>
      <c r="E20" s="17"/>
      <c r="I20" s="69"/>
      <c r="J20" s="69"/>
      <c r="K20" s="69"/>
      <c r="L20" s="69"/>
      <c r="M20" s="69"/>
    </row>
    <row r="21" spans="1:13" x14ac:dyDescent="0.25">
      <c r="A21" s="45" t="s">
        <v>34</v>
      </c>
      <c r="B21" s="16"/>
      <c r="C21" s="16"/>
      <c r="D21" s="16"/>
      <c r="E21" s="17"/>
      <c r="I21" s="69"/>
      <c r="J21" s="69"/>
      <c r="K21" s="69"/>
      <c r="L21" s="69"/>
      <c r="M21" s="69"/>
    </row>
    <row r="22" spans="1:13" x14ac:dyDescent="0.25">
      <c r="A22" s="18" t="s">
        <v>30</v>
      </c>
      <c r="B22" s="118">
        <v>0.95472100000000004</v>
      </c>
      <c r="C22" s="44">
        <f>B22*B10</f>
        <v>5.1638795928863201</v>
      </c>
      <c r="D22" s="16">
        <f>B22*B6</f>
        <v>280.03685427800002</v>
      </c>
      <c r="E22" s="17"/>
      <c r="I22" s="69"/>
      <c r="J22" s="69"/>
      <c r="K22" s="69"/>
      <c r="L22" s="69"/>
      <c r="M22" s="69"/>
    </row>
    <row r="23" spans="1:13" x14ac:dyDescent="0.25">
      <c r="A23" s="18" t="s">
        <v>29</v>
      </c>
      <c r="B23" s="118">
        <f>1-B22</f>
        <v>4.5278999999999958E-2</v>
      </c>
      <c r="C23" s="44">
        <f>B23*B10</f>
        <v>0.24490432711367979</v>
      </c>
      <c r="D23" s="79">
        <f>B23*B6</f>
        <v>13.281145721999987</v>
      </c>
      <c r="E23" s="17"/>
    </row>
    <row r="24" spans="1:13" x14ac:dyDescent="0.25">
      <c r="A24" s="24" t="s">
        <v>68</v>
      </c>
      <c r="B24" s="135">
        <f>K6/K9</f>
        <v>0.34700108459869849</v>
      </c>
      <c r="C24" s="16"/>
      <c r="D24" s="16"/>
      <c r="E24" s="17"/>
    </row>
    <row r="25" spans="1:13" x14ac:dyDescent="0.25">
      <c r="A25" s="24" t="s">
        <v>95</v>
      </c>
      <c r="B25" s="171">
        <f>1/(I8*20)</f>
        <v>2.7114967462039044</v>
      </c>
      <c r="C25" s="16"/>
      <c r="D25" s="16"/>
      <c r="E25" s="17"/>
    </row>
    <row r="26" spans="1:13" s="22" customFormat="1" x14ac:dyDescent="0.25">
      <c r="A26" s="24" t="s">
        <v>108</v>
      </c>
      <c r="B26" s="119">
        <f>L8+K7</f>
        <v>3.6169121005313607</v>
      </c>
      <c r="C26" s="16"/>
      <c r="D26" s="16"/>
      <c r="E26" s="17"/>
    </row>
    <row r="27" spans="1:13" s="22" customFormat="1" x14ac:dyDescent="0.25">
      <c r="A27" s="24" t="s">
        <v>140</v>
      </c>
      <c r="B27" s="127">
        <f>L8/B9/20</f>
        <v>0.66405728609999937</v>
      </c>
      <c r="C27" s="16"/>
      <c r="D27" s="16"/>
      <c r="E27" s="17"/>
    </row>
    <row r="28" spans="1:13" s="22" customFormat="1" x14ac:dyDescent="0.25">
      <c r="A28" s="24" t="s">
        <v>139</v>
      </c>
      <c r="B28" s="127">
        <f>B7*20</f>
        <v>0.127974</v>
      </c>
      <c r="C28" s="16"/>
      <c r="D28" s="16"/>
      <c r="E28" s="17"/>
    </row>
    <row r="29" spans="1:13" x14ac:dyDescent="0.25">
      <c r="A29" s="24" t="s">
        <v>94</v>
      </c>
      <c r="B29" s="136">
        <v>42893</v>
      </c>
      <c r="C29" s="16"/>
      <c r="D29" s="16"/>
      <c r="E29" s="17"/>
    </row>
    <row r="30" spans="1:13" ht="15.75" thickBot="1" x14ac:dyDescent="0.3">
      <c r="A30" s="70" t="s">
        <v>138</v>
      </c>
      <c r="B30" s="130">
        <v>108</v>
      </c>
      <c r="C30" s="25"/>
      <c r="D30" s="25"/>
      <c r="E30" s="20"/>
    </row>
    <row r="31" spans="1:13" hidden="1" x14ac:dyDescent="0.25">
      <c r="B31" s="99"/>
    </row>
    <row r="32" spans="1:13" hidden="1" x14ac:dyDescent="0.25"/>
    <row r="33" hidden="1" x14ac:dyDescent="0.25"/>
    <row r="34" hidden="1" x14ac:dyDescent="0.25"/>
  </sheetData>
  <sheetProtection password="B45D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249977111117893"/>
  </sheetPr>
  <dimension ref="A1:F39"/>
  <sheetViews>
    <sheetView workbookViewId="0">
      <selection sqref="A1:F1"/>
    </sheetView>
  </sheetViews>
  <sheetFormatPr defaultColWidth="0" defaultRowHeight="15" zeroHeight="1" x14ac:dyDescent="0.25"/>
  <cols>
    <col min="1" max="2" width="10.7109375" bestFit="1" customWidth="1"/>
    <col min="3" max="5" width="7.140625" bestFit="1" customWidth="1"/>
    <col min="6" max="6" width="8.140625" bestFit="1" customWidth="1"/>
    <col min="7" max="7" width="9.140625" hidden="1" customWidth="1"/>
    <col min="8" max="16384" width="9.140625" hidden="1"/>
  </cols>
  <sheetData>
    <row r="1" spans="1:6" ht="15.75" thickBot="1" x14ac:dyDescent="0.3">
      <c r="A1" s="296" t="s">
        <v>23</v>
      </c>
      <c r="B1" s="297"/>
      <c r="C1" s="297"/>
      <c r="D1" s="297"/>
      <c r="E1" s="297"/>
      <c r="F1" s="298"/>
    </row>
    <row r="2" spans="1:6" x14ac:dyDescent="0.25">
      <c r="A2" s="3" t="s">
        <v>11</v>
      </c>
      <c r="B2" s="4" t="s">
        <v>12</v>
      </c>
      <c r="C2" s="5" t="s">
        <v>13</v>
      </c>
      <c r="D2" s="5" t="s">
        <v>1</v>
      </c>
      <c r="E2" s="5" t="s">
        <v>4</v>
      </c>
      <c r="F2" s="26" t="s">
        <v>0</v>
      </c>
    </row>
    <row r="3" spans="1:6" x14ac:dyDescent="0.25">
      <c r="A3" s="28">
        <v>41820</v>
      </c>
      <c r="B3" s="27">
        <f>A4-1</f>
        <v>42003</v>
      </c>
      <c r="C3" s="7">
        <v>0.1263</v>
      </c>
      <c r="D3" s="7">
        <v>0.75790000000000002</v>
      </c>
      <c r="E3" s="7">
        <v>0.1158</v>
      </c>
      <c r="F3" s="8">
        <f>SUM(C3:E3)</f>
        <v>1</v>
      </c>
    </row>
    <row r="4" spans="1:6" x14ac:dyDescent="0.25">
      <c r="A4" s="28">
        <v>42004</v>
      </c>
      <c r="B4" s="27">
        <f>A5-1</f>
        <v>42184</v>
      </c>
      <c r="C4" s="7">
        <v>0.1348</v>
      </c>
      <c r="D4" s="7">
        <v>0.66669999999999996</v>
      </c>
      <c r="E4" s="7">
        <v>0.19850000000000001</v>
      </c>
      <c r="F4" s="8">
        <f t="shared" ref="F4:F11" si="0">SUM(C4:E4)</f>
        <v>1</v>
      </c>
    </row>
    <row r="5" spans="1:6" x14ac:dyDescent="0.25">
      <c r="A5" s="28">
        <v>42185</v>
      </c>
      <c r="B5" s="27">
        <f t="shared" ref="B5:B9" si="1">A6-1</f>
        <v>42368</v>
      </c>
      <c r="C5" s="7">
        <v>0.1638</v>
      </c>
      <c r="D5" s="7">
        <v>0.60219999999999996</v>
      </c>
      <c r="E5" s="7">
        <v>0.23400000000000001</v>
      </c>
      <c r="F5" s="8">
        <f t="shared" si="0"/>
        <v>1</v>
      </c>
    </row>
    <row r="6" spans="1:6" x14ac:dyDescent="0.25">
      <c r="A6" s="28">
        <v>42369</v>
      </c>
      <c r="B6" s="27">
        <f t="shared" si="1"/>
        <v>42550</v>
      </c>
      <c r="C6" s="7">
        <v>0.17979999999999999</v>
      </c>
      <c r="D6" s="7">
        <v>0.50990000000000002</v>
      </c>
      <c r="E6" s="7">
        <v>0.31030000000000002</v>
      </c>
      <c r="F6" s="8">
        <f t="shared" si="0"/>
        <v>1</v>
      </c>
    </row>
    <row r="7" spans="1:6" x14ac:dyDescent="0.25">
      <c r="A7" s="28">
        <v>42551</v>
      </c>
      <c r="B7" s="27">
        <f t="shared" si="1"/>
        <v>42734</v>
      </c>
      <c r="C7" s="7">
        <v>0.19550000000000001</v>
      </c>
      <c r="D7" s="7">
        <v>0.49349999999999999</v>
      </c>
      <c r="E7" s="7">
        <v>0.311</v>
      </c>
      <c r="F7" s="8">
        <f t="shared" si="0"/>
        <v>1</v>
      </c>
    </row>
    <row r="8" spans="1:6" x14ac:dyDescent="0.25">
      <c r="A8" s="28">
        <v>42735</v>
      </c>
      <c r="B8" s="27">
        <f t="shared" si="1"/>
        <v>42915</v>
      </c>
      <c r="C8" s="7">
        <v>0.19989999999999999</v>
      </c>
      <c r="D8" s="7">
        <v>0.45960000000000001</v>
      </c>
      <c r="E8" s="7">
        <v>0.34050000000000002</v>
      </c>
      <c r="F8" s="8">
        <f t="shared" si="0"/>
        <v>1</v>
      </c>
    </row>
    <row r="9" spans="1:6" x14ac:dyDescent="0.25">
      <c r="A9" s="28">
        <v>42916</v>
      </c>
      <c r="B9" s="27">
        <f t="shared" si="1"/>
        <v>43099</v>
      </c>
      <c r="C9" s="7">
        <v>0.20250000000000001</v>
      </c>
      <c r="D9" s="7">
        <v>0.4753</v>
      </c>
      <c r="E9" s="7">
        <v>0.32219999999999999</v>
      </c>
      <c r="F9" s="8">
        <f t="shared" si="0"/>
        <v>1</v>
      </c>
    </row>
    <row r="10" spans="1:6" x14ac:dyDescent="0.25">
      <c r="A10" s="28">
        <v>43100</v>
      </c>
      <c r="B10" s="27">
        <f>A11-1</f>
        <v>43258</v>
      </c>
      <c r="C10" s="7">
        <v>0.214</v>
      </c>
      <c r="D10" s="7">
        <v>0.45800000000000002</v>
      </c>
      <c r="E10" s="7">
        <v>0.32800000000000001</v>
      </c>
      <c r="F10" s="8">
        <f t="shared" si="0"/>
        <v>1</v>
      </c>
    </row>
    <row r="11" spans="1:6" ht="15.75" thickBot="1" x14ac:dyDescent="0.3">
      <c r="A11" s="9">
        <v>43259</v>
      </c>
      <c r="B11" s="10">
        <v>43259</v>
      </c>
      <c r="C11" s="11">
        <v>0.20380000000000001</v>
      </c>
      <c r="D11" s="11">
        <v>0.43619999999999998</v>
      </c>
      <c r="E11" s="11">
        <v>0.36</v>
      </c>
      <c r="F11" s="12">
        <f t="shared" si="0"/>
        <v>1</v>
      </c>
    </row>
    <row r="12" spans="1:6" ht="15.75" thickBot="1" x14ac:dyDescent="0.3"/>
    <row r="13" spans="1:6" ht="15.75" thickBot="1" x14ac:dyDescent="0.3">
      <c r="A13" s="296" t="s">
        <v>22</v>
      </c>
      <c r="B13" s="297"/>
      <c r="C13" s="297"/>
      <c r="D13" s="297"/>
      <c r="E13" s="297"/>
      <c r="F13" s="298"/>
    </row>
    <row r="14" spans="1:6" x14ac:dyDescent="0.25">
      <c r="A14" s="137" t="s">
        <v>11</v>
      </c>
      <c r="B14" s="4" t="s">
        <v>12</v>
      </c>
      <c r="C14" s="138" t="s">
        <v>14</v>
      </c>
      <c r="D14" s="138" t="s">
        <v>15</v>
      </c>
      <c r="E14" s="138" t="s">
        <v>4</v>
      </c>
      <c r="F14" s="21" t="s">
        <v>0</v>
      </c>
    </row>
    <row r="15" spans="1:6" s="22" customFormat="1" x14ac:dyDescent="0.25">
      <c r="A15" s="28">
        <v>40532</v>
      </c>
      <c r="B15" s="6">
        <f>A16-1</f>
        <v>40542</v>
      </c>
      <c r="C15" s="104">
        <v>3.15E-2</v>
      </c>
      <c r="D15" s="104">
        <v>0.74539999999999995</v>
      </c>
      <c r="E15" s="104">
        <v>0.22309999999999999</v>
      </c>
      <c r="F15" s="144">
        <f>SUM(C15:E15)</f>
        <v>0.99999999999999989</v>
      </c>
    </row>
    <row r="16" spans="1:6" x14ac:dyDescent="0.25">
      <c r="A16" s="28">
        <v>40543</v>
      </c>
      <c r="B16" s="27">
        <v>40723</v>
      </c>
      <c r="C16" s="7">
        <v>4.0399999999999998E-2</v>
      </c>
      <c r="D16" s="7">
        <v>0.67269999999999996</v>
      </c>
      <c r="E16" s="7">
        <v>0.28689999999999999</v>
      </c>
      <c r="F16" s="8">
        <f t="shared" ref="F16:F22" si="2">SUM(C16:E16)</f>
        <v>1</v>
      </c>
    </row>
    <row r="17" spans="1:6" x14ac:dyDescent="0.25">
      <c r="A17" s="28">
        <v>40724</v>
      </c>
      <c r="B17" s="27">
        <v>40907</v>
      </c>
      <c r="C17" s="7">
        <v>3.9599999999999996E-2</v>
      </c>
      <c r="D17" s="7">
        <v>0.68319999999999992</v>
      </c>
      <c r="E17" s="7">
        <v>0.2772</v>
      </c>
      <c r="F17" s="8">
        <f t="shared" si="2"/>
        <v>0.99999999999999989</v>
      </c>
    </row>
    <row r="18" spans="1:6" x14ac:dyDescent="0.25">
      <c r="A18" s="28">
        <v>40908</v>
      </c>
      <c r="B18" s="27">
        <v>41089</v>
      </c>
      <c r="C18" s="7">
        <v>3.5799999999999998E-2</v>
      </c>
      <c r="D18" s="7">
        <v>0.68500000000000005</v>
      </c>
      <c r="E18" s="7">
        <v>0.2792</v>
      </c>
      <c r="F18" s="8">
        <f t="shared" si="2"/>
        <v>1</v>
      </c>
    </row>
    <row r="19" spans="1:6" x14ac:dyDescent="0.25">
      <c r="A19" s="28">
        <v>41090</v>
      </c>
      <c r="B19" s="27">
        <v>41273</v>
      </c>
      <c r="C19" s="7">
        <v>4.7100000000000003E-2</v>
      </c>
      <c r="D19" s="7">
        <v>0.75409999999999999</v>
      </c>
      <c r="E19" s="7">
        <v>0.19879999999999998</v>
      </c>
      <c r="F19" s="8">
        <f t="shared" si="2"/>
        <v>1</v>
      </c>
    </row>
    <row r="20" spans="1:6" x14ac:dyDescent="0.25">
      <c r="A20" s="28">
        <v>41274</v>
      </c>
      <c r="B20" s="27">
        <v>41454</v>
      </c>
      <c r="C20" s="7">
        <v>5.3600000000000002E-2</v>
      </c>
      <c r="D20" s="7">
        <v>0.7551000000000001</v>
      </c>
      <c r="E20" s="7">
        <v>0.1913</v>
      </c>
      <c r="F20" s="8">
        <f t="shared" si="2"/>
        <v>1</v>
      </c>
    </row>
    <row r="21" spans="1:6" x14ac:dyDescent="0.25">
      <c r="A21" s="28">
        <v>41455</v>
      </c>
      <c r="B21" s="27">
        <v>41638</v>
      </c>
      <c r="C21" s="7">
        <v>6.7199999999999996E-2</v>
      </c>
      <c r="D21" s="7">
        <v>0.73819999999999997</v>
      </c>
      <c r="E21" s="7">
        <v>0.1946</v>
      </c>
      <c r="F21" s="8">
        <f t="shared" si="2"/>
        <v>1</v>
      </c>
    </row>
    <row r="22" spans="1:6" ht="15.75" thickBot="1" x14ac:dyDescent="0.3">
      <c r="A22" s="31">
        <v>41639</v>
      </c>
      <c r="B22" s="32">
        <v>41819</v>
      </c>
      <c r="C22" s="11">
        <v>0.107</v>
      </c>
      <c r="D22" s="11">
        <v>0.71879999999999999</v>
      </c>
      <c r="E22" s="11">
        <v>0.17420000000000002</v>
      </c>
      <c r="F22" s="12">
        <f t="shared" si="2"/>
        <v>1</v>
      </c>
    </row>
    <row r="23" spans="1:6" ht="15.75" thickBot="1" x14ac:dyDescent="0.3"/>
    <row r="24" spans="1:6" ht="15.75" thickBot="1" x14ac:dyDescent="0.3">
      <c r="A24" s="296" t="s">
        <v>24</v>
      </c>
      <c r="B24" s="297"/>
      <c r="C24" s="297"/>
      <c r="D24" s="297"/>
      <c r="E24" s="297"/>
      <c r="F24" s="298"/>
    </row>
    <row r="25" spans="1:6" x14ac:dyDescent="0.25">
      <c r="A25" s="102" t="s">
        <v>11</v>
      </c>
      <c r="B25" s="4" t="s">
        <v>12</v>
      </c>
      <c r="C25" s="103" t="s">
        <v>14</v>
      </c>
      <c r="D25" s="103" t="s">
        <v>15</v>
      </c>
      <c r="E25" s="103" t="s">
        <v>4</v>
      </c>
      <c r="F25" s="21" t="s">
        <v>0</v>
      </c>
    </row>
    <row r="26" spans="1:6" s="22" customFormat="1" x14ac:dyDescent="0.25">
      <c r="A26" s="28">
        <v>31048</v>
      </c>
      <c r="B26" s="6">
        <v>38351</v>
      </c>
      <c r="C26" s="104">
        <v>9.0899999999999995E-2</v>
      </c>
      <c r="D26" s="104">
        <v>0.52390000000000003</v>
      </c>
      <c r="E26" s="104">
        <v>0.38519999999999999</v>
      </c>
      <c r="F26" s="8">
        <f>SUM(C26:E26)</f>
        <v>1</v>
      </c>
    </row>
    <row r="27" spans="1:6" x14ac:dyDescent="0.25">
      <c r="A27" s="28">
        <v>38352</v>
      </c>
      <c r="B27" s="27">
        <v>38532</v>
      </c>
      <c r="C27" s="23">
        <v>9.2399999999999996E-2</v>
      </c>
      <c r="D27" s="23">
        <v>0.49859999999999999</v>
      </c>
      <c r="E27" s="23">
        <v>0.40899999999999997</v>
      </c>
      <c r="F27" s="8">
        <f>SUM(C27:E27)</f>
        <v>1</v>
      </c>
    </row>
    <row r="28" spans="1:6" x14ac:dyDescent="0.25">
      <c r="A28" s="28">
        <v>38533</v>
      </c>
      <c r="B28" s="27">
        <v>38716</v>
      </c>
      <c r="C28" s="23">
        <v>7.1099999999999997E-2</v>
      </c>
      <c r="D28" s="23">
        <v>0.51950000000000007</v>
      </c>
      <c r="E28" s="23">
        <v>0.40939999999999999</v>
      </c>
      <c r="F28" s="8">
        <f t="shared" ref="F28:F38" si="3">SUM(C28:E28)</f>
        <v>1</v>
      </c>
    </row>
    <row r="29" spans="1:6" x14ac:dyDescent="0.25">
      <c r="A29" s="28">
        <v>38717</v>
      </c>
      <c r="B29" s="27">
        <v>38897</v>
      </c>
      <c r="C29" s="23">
        <v>8.0500000000000002E-2</v>
      </c>
      <c r="D29" s="23">
        <v>0.51659999999999995</v>
      </c>
      <c r="E29" s="23">
        <v>0.40289999999999998</v>
      </c>
      <c r="F29" s="8">
        <f t="shared" si="3"/>
        <v>1</v>
      </c>
    </row>
    <row r="30" spans="1:6" x14ac:dyDescent="0.25">
      <c r="A30" s="28">
        <v>38898</v>
      </c>
      <c r="B30" s="27">
        <v>39081</v>
      </c>
      <c r="C30" s="23">
        <v>8.0199999999999994E-2</v>
      </c>
      <c r="D30" s="23">
        <v>0.54899999999999993</v>
      </c>
      <c r="E30" s="23">
        <v>0.37079999999999996</v>
      </c>
      <c r="F30" s="8">
        <f t="shared" si="3"/>
        <v>1</v>
      </c>
    </row>
    <row r="31" spans="1:6" x14ac:dyDescent="0.25">
      <c r="A31" s="28">
        <v>39082</v>
      </c>
      <c r="B31" s="27">
        <v>39262</v>
      </c>
      <c r="C31" s="23">
        <v>7.3800000000000004E-2</v>
      </c>
      <c r="D31" s="23">
        <v>0.58430000000000004</v>
      </c>
      <c r="E31" s="23">
        <v>0.34189999999999998</v>
      </c>
      <c r="F31" s="8">
        <f t="shared" si="3"/>
        <v>1</v>
      </c>
    </row>
    <row r="32" spans="1:6" s="22" customFormat="1" x14ac:dyDescent="0.25">
      <c r="A32" s="28">
        <v>39263</v>
      </c>
      <c r="B32" s="27">
        <f>A33-1</f>
        <v>39446</v>
      </c>
      <c r="C32" s="23">
        <v>7.5399999999999995E-2</v>
      </c>
      <c r="D32" s="23">
        <v>0.59219999999999995</v>
      </c>
      <c r="E32" s="23">
        <v>0.33239999999999997</v>
      </c>
      <c r="F32" s="8">
        <f t="shared" si="3"/>
        <v>1</v>
      </c>
    </row>
    <row r="33" spans="1:6" x14ac:dyDescent="0.25">
      <c r="A33" s="28">
        <v>39447</v>
      </c>
      <c r="B33" s="27">
        <v>39628</v>
      </c>
      <c r="C33" s="23">
        <v>8.0700000000000008E-2</v>
      </c>
      <c r="D33" s="23">
        <v>0.62460000000000004</v>
      </c>
      <c r="E33" s="23">
        <v>0.29469999999999996</v>
      </c>
      <c r="F33" s="8">
        <f t="shared" si="3"/>
        <v>1</v>
      </c>
    </row>
    <row r="34" spans="1:6" x14ac:dyDescent="0.25">
      <c r="A34" s="28">
        <v>39629</v>
      </c>
      <c r="B34" s="27">
        <v>39812</v>
      </c>
      <c r="C34" s="23">
        <v>6.83E-2</v>
      </c>
      <c r="D34" s="23">
        <v>0.65290000000000004</v>
      </c>
      <c r="E34" s="23">
        <v>0.27879999999999999</v>
      </c>
      <c r="F34" s="8">
        <f t="shared" si="3"/>
        <v>1</v>
      </c>
    </row>
    <row r="35" spans="1:6" x14ac:dyDescent="0.25">
      <c r="A35" s="28">
        <v>39813</v>
      </c>
      <c r="B35" s="27">
        <v>39993</v>
      </c>
      <c r="C35" s="23">
        <v>5.7000000000000002E-2</v>
      </c>
      <c r="D35" s="23">
        <v>0.65720000000000001</v>
      </c>
      <c r="E35" s="23">
        <v>0.2858</v>
      </c>
      <c r="F35" s="8">
        <f t="shared" si="3"/>
        <v>1</v>
      </c>
    </row>
    <row r="36" spans="1:6" x14ac:dyDescent="0.25">
      <c r="A36" s="28">
        <v>39994</v>
      </c>
      <c r="B36" s="27">
        <v>40177</v>
      </c>
      <c r="C36" s="23">
        <v>4.6300000000000001E-2</v>
      </c>
      <c r="D36" s="23">
        <v>0.71319999999999995</v>
      </c>
      <c r="E36" s="23">
        <v>0.24050000000000002</v>
      </c>
      <c r="F36" s="8">
        <f t="shared" si="3"/>
        <v>1</v>
      </c>
    </row>
    <row r="37" spans="1:6" x14ac:dyDescent="0.25">
      <c r="A37" s="28">
        <v>40178</v>
      </c>
      <c r="B37" s="27">
        <v>40358</v>
      </c>
      <c r="C37" s="23">
        <v>4.0099999999999997E-2</v>
      </c>
      <c r="D37" s="23">
        <v>0.74590000000000001</v>
      </c>
      <c r="E37" s="23">
        <v>0.214</v>
      </c>
      <c r="F37" s="8">
        <f t="shared" si="3"/>
        <v>1</v>
      </c>
    </row>
    <row r="38" spans="1:6" ht="15.75" thickBot="1" x14ac:dyDescent="0.3">
      <c r="A38" s="31">
        <v>40359</v>
      </c>
      <c r="B38" s="42">
        <v>40531</v>
      </c>
      <c r="C38" s="33">
        <v>3.15E-2</v>
      </c>
      <c r="D38" s="33">
        <v>0.74540000000000006</v>
      </c>
      <c r="E38" s="33">
        <v>0.22309999999999999</v>
      </c>
      <c r="F38" s="12">
        <f t="shared" si="3"/>
        <v>1</v>
      </c>
    </row>
    <row r="39" spans="1:6" hidden="1" x14ac:dyDescent="0.25"/>
  </sheetData>
  <sheetProtection password="B45D" sheet="1" objects="1" scenarios="1" selectLockedCells="1" selectUnlockedCells="1"/>
  <mergeCells count="3">
    <mergeCell ref="A1:F1"/>
    <mergeCell ref="A13:F13"/>
    <mergeCell ref="A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Summary Sheet</vt:lpstr>
      <vt:lpstr>Manual Input</vt:lpstr>
      <vt:lpstr>Error Checking</vt:lpstr>
      <vt:lpstr>2018 Calculator</vt:lpstr>
      <vt:lpstr>2014 Calculator</vt:lpstr>
      <vt:lpstr>2010 Calculator</vt:lpstr>
      <vt:lpstr>Allocation of CDIs</vt:lpstr>
      <vt:lpstr>Defined Values</vt:lpstr>
      <vt:lpstr>NTA</vt:lpstr>
      <vt:lpstr>TDD</vt:lpstr>
      <vt:lpstr>'Manual Input'!Print_Area</vt:lpstr>
      <vt:lpstr>'Summary Sheet'!Print_Area</vt:lpstr>
    </vt:vector>
  </TitlesOfParts>
  <Manager>David.Truong@ato.gov.au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Danny.Ong@ato.gov.au</dc:creator>
  <cp:lastModifiedBy>Ong, Danny</cp:lastModifiedBy>
  <cp:lastPrinted>2018-07-12T02:04:48Z</cp:lastPrinted>
  <dcterms:created xsi:type="dcterms:W3CDTF">2018-05-30T05:38:26Z</dcterms:created>
  <dcterms:modified xsi:type="dcterms:W3CDTF">2018-07-12T04:15:58Z</dcterms:modified>
</cp:coreProperties>
</file>